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 на 1 Гкал" sheetId="5" r:id="rId1"/>
    <sheet name="тариф" sheetId="4" r:id="rId2"/>
    <sheet name="Лист1" sheetId="1" r:id="rId3"/>
    <sheet name="Лист2" sheetId="2" r:id="rId4"/>
    <sheet name="Лист3" sheetId="3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C12" i="5"/>
  <c r="D12"/>
  <c r="E12"/>
  <c r="F12"/>
  <c r="O12"/>
  <c r="P12"/>
  <c r="Q12"/>
  <c r="R12"/>
  <c r="C13"/>
  <c r="D13"/>
  <c r="E13"/>
  <c r="F13"/>
  <c r="O13"/>
  <c r="P13"/>
  <c r="Q13"/>
  <c r="R13"/>
  <c r="C14"/>
  <c r="D14"/>
  <c r="E14"/>
  <c r="F14"/>
  <c r="O14"/>
  <c r="P14"/>
  <c r="Q14"/>
  <c r="R14"/>
  <c r="C15"/>
  <c r="D15"/>
  <c r="E15"/>
  <c r="F15"/>
  <c r="G15"/>
  <c r="H15"/>
  <c r="I15"/>
  <c r="J15"/>
  <c r="K15"/>
  <c r="K10" s="1"/>
  <c r="L15"/>
  <c r="L10" s="1"/>
  <c r="M15"/>
  <c r="M10" s="1"/>
  <c r="N15"/>
  <c r="N10" s="1"/>
  <c r="O15"/>
  <c r="P15"/>
  <c r="Q15"/>
  <c r="R15"/>
  <c r="C16"/>
  <c r="D16"/>
  <c r="E16"/>
  <c r="F16"/>
  <c r="G16"/>
  <c r="H16"/>
  <c r="I16"/>
  <c r="J16"/>
  <c r="O16"/>
  <c r="P16"/>
  <c r="Q16"/>
  <c r="R16"/>
  <c r="C17"/>
  <c r="D17"/>
  <c r="E17"/>
  <c r="F17"/>
  <c r="G17"/>
  <c r="H17"/>
  <c r="I17"/>
  <c r="J17"/>
  <c r="O17"/>
  <c r="P17"/>
  <c r="Q17"/>
  <c r="R17"/>
  <c r="C18"/>
  <c r="D18"/>
  <c r="E18"/>
  <c r="F18"/>
  <c r="G18"/>
  <c r="H18"/>
  <c r="I18"/>
  <c r="J18"/>
  <c r="O18"/>
  <c r="P18"/>
  <c r="Q18"/>
  <c r="R18"/>
  <c r="K19"/>
  <c r="L19"/>
  <c r="M19"/>
  <c r="N19"/>
  <c r="C20"/>
  <c r="D20"/>
  <c r="E20"/>
  <c r="F20"/>
  <c r="G20"/>
  <c r="H20"/>
  <c r="I20"/>
  <c r="J20"/>
  <c r="O20"/>
  <c r="P20"/>
  <c r="Q20"/>
  <c r="R20"/>
  <c r="C21"/>
  <c r="D21"/>
  <c r="E21"/>
  <c r="F21"/>
  <c r="G21"/>
  <c r="H21"/>
  <c r="I21"/>
  <c r="J21"/>
  <c r="O21"/>
  <c r="P21"/>
  <c r="Q21"/>
  <c r="R21"/>
  <c r="G22"/>
  <c r="H22"/>
  <c r="I22"/>
  <c r="J22"/>
  <c r="O22"/>
  <c r="P22"/>
  <c r="Q22"/>
  <c r="R22"/>
  <c r="C24"/>
  <c r="D24"/>
  <c r="E24"/>
  <c r="F24"/>
  <c r="G24"/>
  <c r="H24"/>
  <c r="I24"/>
  <c r="J24"/>
  <c r="K24"/>
  <c r="L24"/>
  <c r="M24"/>
  <c r="N24"/>
  <c r="O24"/>
  <c r="P24"/>
  <c r="Q24"/>
  <c r="R24"/>
  <c r="C25"/>
  <c r="D25"/>
  <c r="E25"/>
  <c r="F25"/>
  <c r="G25"/>
  <c r="H25"/>
  <c r="I25"/>
  <c r="J25"/>
  <c r="K25"/>
  <c r="L25"/>
  <c r="M25"/>
  <c r="N25"/>
  <c r="O25"/>
  <c r="P25"/>
  <c r="Q25"/>
  <c r="R25"/>
  <c r="C26"/>
  <c r="D26"/>
  <c r="E26"/>
  <c r="F26"/>
  <c r="G26"/>
  <c r="H26"/>
  <c r="I26"/>
  <c r="J26"/>
  <c r="K26"/>
  <c r="L26"/>
  <c r="M26"/>
  <c r="N26"/>
  <c r="O26"/>
  <c r="P26"/>
  <c r="Q26"/>
  <c r="R26"/>
  <c r="C28"/>
  <c r="D28"/>
  <c r="E28"/>
  <c r="F28"/>
  <c r="G28"/>
  <c r="H28"/>
  <c r="I28"/>
  <c r="J28"/>
  <c r="K28"/>
  <c r="L28"/>
  <c r="M28"/>
  <c r="N28"/>
  <c r="O28"/>
  <c r="P28"/>
  <c r="Q28"/>
  <c r="R28"/>
  <c r="C29"/>
  <c r="D29"/>
  <c r="E29"/>
  <c r="F29"/>
  <c r="G29"/>
  <c r="H29"/>
  <c r="I29"/>
  <c r="J29"/>
  <c r="K29"/>
  <c r="L29"/>
  <c r="M29"/>
  <c r="N29"/>
  <c r="O29"/>
  <c r="P29"/>
  <c r="Q29"/>
  <c r="R29"/>
  <c r="C30"/>
  <c r="D30"/>
  <c r="E30"/>
  <c r="F30"/>
  <c r="G30"/>
  <c r="H30"/>
  <c r="I30"/>
  <c r="J30"/>
  <c r="K30"/>
  <c r="L30"/>
  <c r="M30"/>
  <c r="N30"/>
  <c r="O30"/>
  <c r="P30"/>
  <c r="Q30"/>
  <c r="R30"/>
  <c r="C33"/>
  <c r="D33"/>
  <c r="E33"/>
  <c r="F33"/>
  <c r="G33"/>
  <c r="H33"/>
  <c r="I33"/>
  <c r="J33"/>
  <c r="K33"/>
  <c r="L33"/>
  <c r="M33"/>
  <c r="N33"/>
  <c r="O33"/>
  <c r="P33"/>
  <c r="Q33"/>
  <c r="R33"/>
  <c r="C34"/>
  <c r="D34"/>
  <c r="E34"/>
  <c r="F34"/>
  <c r="G34"/>
  <c r="H34"/>
  <c r="I34"/>
  <c r="J34"/>
  <c r="K34"/>
  <c r="L34"/>
  <c r="M34"/>
  <c r="N34"/>
  <c r="O34"/>
  <c r="P34"/>
  <c r="Q34"/>
  <c r="R34"/>
  <c r="G35"/>
  <c r="H35"/>
  <c r="I35"/>
  <c r="J35"/>
  <c r="K35"/>
  <c r="L35"/>
  <c r="M35"/>
  <c r="N35"/>
  <c r="C36"/>
  <c r="D36"/>
  <c r="E36"/>
  <c r="F36"/>
  <c r="G36"/>
  <c r="H36"/>
  <c r="I36"/>
  <c r="J36"/>
  <c r="K36"/>
  <c r="L36"/>
  <c r="M36"/>
  <c r="N36"/>
  <c r="O36"/>
  <c r="P36"/>
  <c r="Q36"/>
  <c r="R36"/>
  <c r="C45"/>
  <c r="E45"/>
  <c r="I45"/>
  <c r="M45"/>
  <c r="Q45"/>
  <c r="C46"/>
  <c r="E46"/>
  <c r="O46"/>
  <c r="Q46"/>
  <c r="B49"/>
  <c r="B51" s="1"/>
  <c r="B53" s="1"/>
  <c r="G49"/>
  <c r="H49"/>
  <c r="H54" s="1"/>
  <c r="I49"/>
  <c r="J49"/>
  <c r="J54" s="1"/>
  <c r="K49"/>
  <c r="L49"/>
  <c r="L54" s="1"/>
  <c r="M49"/>
  <c r="N49"/>
  <c r="N54" s="1"/>
  <c r="C50"/>
  <c r="D50"/>
  <c r="E50"/>
  <c r="F50"/>
  <c r="G50"/>
  <c r="H50"/>
  <c r="I50"/>
  <c r="J50"/>
  <c r="K50"/>
  <c r="L50"/>
  <c r="M50"/>
  <c r="N50"/>
  <c r="O50"/>
  <c r="P50"/>
  <c r="Q50"/>
  <c r="R50"/>
  <c r="C51"/>
  <c r="D51"/>
  <c r="E51"/>
  <c r="F51"/>
  <c r="G51"/>
  <c r="H51"/>
  <c r="I51"/>
  <c r="J51"/>
  <c r="K51"/>
  <c r="L51"/>
  <c r="M51"/>
  <c r="N51"/>
  <c r="O51"/>
  <c r="P51"/>
  <c r="Q51"/>
  <c r="R51"/>
  <c r="B52"/>
  <c r="C52"/>
  <c r="D52"/>
  <c r="E52"/>
  <c r="F52"/>
  <c r="G52"/>
  <c r="H52"/>
  <c r="I52"/>
  <c r="J52"/>
  <c r="K52"/>
  <c r="L52"/>
  <c r="M52"/>
  <c r="N52"/>
  <c r="O52"/>
  <c r="P52"/>
  <c r="Q52"/>
  <c r="R52"/>
  <c r="C53"/>
  <c r="D53"/>
  <c r="E53"/>
  <c r="F53"/>
  <c r="G53"/>
  <c r="H53"/>
  <c r="I53"/>
  <c r="J53"/>
  <c r="K53"/>
  <c r="L53"/>
  <c r="M53"/>
  <c r="N53"/>
  <c r="O53"/>
  <c r="P53"/>
  <c r="Q53"/>
  <c r="R53"/>
  <c r="G54"/>
  <c r="I54"/>
  <c r="K54"/>
  <c r="M54"/>
  <c r="R2" i="4"/>
  <c r="D8"/>
  <c r="E8"/>
  <c r="D45" i="5" s="1"/>
  <c r="F8" i="4"/>
  <c r="G8"/>
  <c r="H17" s="1"/>
  <c r="L8"/>
  <c r="M8"/>
  <c r="K8" s="1"/>
  <c r="N8"/>
  <c r="P8"/>
  <c r="Q8"/>
  <c r="R8"/>
  <c r="D9"/>
  <c r="E9"/>
  <c r="C9" s="1"/>
  <c r="F9"/>
  <c r="G9"/>
  <c r="I13" s="1"/>
  <c r="L9"/>
  <c r="M9"/>
  <c r="Q9" s="1"/>
  <c r="N9"/>
  <c r="P9"/>
  <c r="R9"/>
  <c r="C10"/>
  <c r="G10"/>
  <c r="H10"/>
  <c r="I10"/>
  <c r="J10"/>
  <c r="K10"/>
  <c r="O11"/>
  <c r="H13"/>
  <c r="H12" s="1"/>
  <c r="J13"/>
  <c r="J12" s="1"/>
  <c r="G16"/>
  <c r="I17"/>
  <c r="I18"/>
  <c r="K29"/>
  <c r="H45" i="5" l="1"/>
  <c r="L45"/>
  <c r="P45"/>
  <c r="F45"/>
  <c r="I12" i="4"/>
  <c r="I14"/>
  <c r="I21"/>
  <c r="I22" s="1"/>
  <c r="I27" s="1"/>
  <c r="M32" i="5"/>
  <c r="K32"/>
  <c r="I32"/>
  <c r="G32"/>
  <c r="E32"/>
  <c r="C32"/>
  <c r="M27"/>
  <c r="K27"/>
  <c r="I27"/>
  <c r="G27"/>
  <c r="E27"/>
  <c r="C27"/>
  <c r="M23"/>
  <c r="K23"/>
  <c r="I23"/>
  <c r="G23"/>
  <c r="E23"/>
  <c r="C23"/>
  <c r="I19"/>
  <c r="G19"/>
  <c r="E19"/>
  <c r="C19"/>
  <c r="I10"/>
  <c r="G10"/>
  <c r="E11"/>
  <c r="C11"/>
  <c r="O9" i="4"/>
  <c r="O45" i="5"/>
  <c r="K45"/>
  <c r="G45"/>
  <c r="M30" i="4"/>
  <c r="M31" s="1"/>
  <c r="J21"/>
  <c r="J22" s="1"/>
  <c r="J27" s="1"/>
  <c r="H21"/>
  <c r="H22" s="1"/>
  <c r="H27" s="1"/>
  <c r="J17"/>
  <c r="J18" s="1"/>
  <c r="J26" s="1"/>
  <c r="J14"/>
  <c r="J33" s="1"/>
  <c r="N11" s="1"/>
  <c r="H14"/>
  <c r="H33" s="1"/>
  <c r="L11" s="1"/>
  <c r="K9"/>
  <c r="O8"/>
  <c r="C8"/>
  <c r="D46" i="5"/>
  <c r="P46" s="1"/>
  <c r="N32"/>
  <c r="L32"/>
  <c r="J32"/>
  <c r="H32"/>
  <c r="F32"/>
  <c r="D32"/>
  <c r="N27"/>
  <c r="L27"/>
  <c r="J27"/>
  <c r="H27"/>
  <c r="F27"/>
  <c r="D27"/>
  <c r="N23"/>
  <c r="L23"/>
  <c r="J23"/>
  <c r="H23"/>
  <c r="F23"/>
  <c r="D23"/>
  <c r="J19"/>
  <c r="H19"/>
  <c r="F19"/>
  <c r="D19"/>
  <c r="J10"/>
  <c r="H10"/>
  <c r="F11"/>
  <c r="D11"/>
  <c r="R32"/>
  <c r="Q32"/>
  <c r="O32"/>
  <c r="E49"/>
  <c r="E54" s="1"/>
  <c r="E10"/>
  <c r="Q11"/>
  <c r="C49"/>
  <c r="C54" s="1"/>
  <c r="C10"/>
  <c r="O11"/>
  <c r="R27"/>
  <c r="Q27"/>
  <c r="O27"/>
  <c r="Q23"/>
  <c r="O23"/>
  <c r="Q19"/>
  <c r="O19"/>
  <c r="M9"/>
  <c r="K9"/>
  <c r="I9"/>
  <c r="G9"/>
  <c r="P32"/>
  <c r="F10"/>
  <c r="R11"/>
  <c r="F49"/>
  <c r="F54" s="1"/>
  <c r="D10"/>
  <c r="P11"/>
  <c r="D49"/>
  <c r="D54" s="1"/>
  <c r="P27"/>
  <c r="R23"/>
  <c r="P23"/>
  <c r="R19"/>
  <c r="P19"/>
  <c r="N9"/>
  <c r="L9"/>
  <c r="J9"/>
  <c r="H9"/>
  <c r="F11" i="4"/>
  <c r="D11"/>
  <c r="J23"/>
  <c r="J32"/>
  <c r="Q13"/>
  <c r="Q17"/>
  <c r="P13"/>
  <c r="R13"/>
  <c r="P17"/>
  <c r="R17"/>
  <c r="C16"/>
  <c r="D17"/>
  <c r="F17"/>
  <c r="F18" s="1"/>
  <c r="E17"/>
  <c r="E18" s="1"/>
  <c r="M13"/>
  <c r="K16"/>
  <c r="L17"/>
  <c r="N17"/>
  <c r="M18"/>
  <c r="D30"/>
  <c r="F30"/>
  <c r="F31" s="1"/>
  <c r="L30"/>
  <c r="N30"/>
  <c r="N31" s="1"/>
  <c r="L13"/>
  <c r="N13"/>
  <c r="M17"/>
  <c r="L18"/>
  <c r="N18"/>
  <c r="E30"/>
  <c r="E31" s="1"/>
  <c r="H18"/>
  <c r="F13"/>
  <c r="F12" s="1"/>
  <c r="Q2"/>
  <c r="G21"/>
  <c r="G22" s="1"/>
  <c r="G13"/>
  <c r="J45" i="5" l="1"/>
  <c r="N45"/>
  <c r="R45"/>
  <c r="F46"/>
  <c r="R46" s="1"/>
  <c r="I33" i="4"/>
  <c r="M11" s="1"/>
  <c r="G17"/>
  <c r="I26"/>
  <c r="H31" i="5"/>
  <c r="H40"/>
  <c r="H41" s="1"/>
  <c r="M31"/>
  <c r="M40"/>
  <c r="M41" s="1"/>
  <c r="C9"/>
  <c r="O10"/>
  <c r="J31"/>
  <c r="J40"/>
  <c r="J41" s="1"/>
  <c r="N31"/>
  <c r="N40"/>
  <c r="N41" s="1"/>
  <c r="P49"/>
  <c r="P54" s="1"/>
  <c r="R49"/>
  <c r="R54" s="1"/>
  <c r="G31"/>
  <c r="G40"/>
  <c r="G41" s="1"/>
  <c r="K31"/>
  <c r="K40"/>
  <c r="K41" s="1"/>
  <c r="O49"/>
  <c r="O54" s="1"/>
  <c r="Q49"/>
  <c r="Q54" s="1"/>
  <c r="L31"/>
  <c r="L40"/>
  <c r="L41" s="1"/>
  <c r="D9"/>
  <c r="P10"/>
  <c r="F9"/>
  <c r="R10"/>
  <c r="I31"/>
  <c r="I40"/>
  <c r="I41" s="1"/>
  <c r="E9"/>
  <c r="Q10"/>
  <c r="G27" i="4"/>
  <c r="N19"/>
  <c r="L12"/>
  <c r="L14"/>
  <c r="L21"/>
  <c r="L26" s="1"/>
  <c r="D31"/>
  <c r="C30"/>
  <c r="C31" s="1"/>
  <c r="E19"/>
  <c r="G12"/>
  <c r="G14"/>
  <c r="G32"/>
  <c r="G18"/>
  <c r="G26" s="1"/>
  <c r="G23" s="1"/>
  <c r="G24" s="1"/>
  <c r="H26"/>
  <c r="K18"/>
  <c r="L19"/>
  <c r="K13"/>
  <c r="N12"/>
  <c r="N14" s="1"/>
  <c r="N21"/>
  <c r="N26" s="1"/>
  <c r="N23" s="1"/>
  <c r="N24" s="1"/>
  <c r="M19"/>
  <c r="M12"/>
  <c r="M14"/>
  <c r="M21"/>
  <c r="M26" s="1"/>
  <c r="F19"/>
  <c r="P12"/>
  <c r="P14"/>
  <c r="P21"/>
  <c r="Q12"/>
  <c r="Q14"/>
  <c r="Q21"/>
  <c r="J24"/>
  <c r="D13"/>
  <c r="D12" s="1"/>
  <c r="K17"/>
  <c r="L31"/>
  <c r="K30"/>
  <c r="K31" s="1"/>
  <c r="C17"/>
  <c r="D18"/>
  <c r="O13"/>
  <c r="R12"/>
  <c r="R14"/>
  <c r="R21"/>
  <c r="E11" l="1"/>
  <c r="C11" s="1"/>
  <c r="K11"/>
  <c r="E13"/>
  <c r="E12" s="1"/>
  <c r="I23"/>
  <c r="I24" s="1"/>
  <c r="I32"/>
  <c r="Q9" i="5"/>
  <c r="E31"/>
  <c r="E40"/>
  <c r="I43"/>
  <c r="I44"/>
  <c r="I47"/>
  <c r="I39"/>
  <c r="R9"/>
  <c r="F31"/>
  <c r="F40"/>
  <c r="P9"/>
  <c r="D31"/>
  <c r="D40"/>
  <c r="L43"/>
  <c r="L44"/>
  <c r="L47"/>
  <c r="L39"/>
  <c r="K43"/>
  <c r="K44"/>
  <c r="K47"/>
  <c r="K39"/>
  <c r="G43"/>
  <c r="G44"/>
  <c r="G47"/>
  <c r="G39"/>
  <c r="N43"/>
  <c r="N44"/>
  <c r="N47"/>
  <c r="N39"/>
  <c r="J43"/>
  <c r="J44"/>
  <c r="J47"/>
  <c r="J39"/>
  <c r="O9"/>
  <c r="C31"/>
  <c r="C40"/>
  <c r="M43"/>
  <c r="M44"/>
  <c r="M47"/>
  <c r="M39"/>
  <c r="H43"/>
  <c r="H44"/>
  <c r="H47"/>
  <c r="H39"/>
  <c r="L23" i="4"/>
  <c r="L24" s="1"/>
  <c r="L32"/>
  <c r="M23"/>
  <c r="M32"/>
  <c r="R22"/>
  <c r="R27" s="1"/>
  <c r="R26"/>
  <c r="Q22"/>
  <c r="Q27" s="1"/>
  <c r="Q26"/>
  <c r="O21"/>
  <c r="P22"/>
  <c r="P27" s="1"/>
  <c r="P33" s="1"/>
  <c r="P26"/>
  <c r="K12"/>
  <c r="K14"/>
  <c r="H32"/>
  <c r="H23"/>
  <c r="C18"/>
  <c r="D19"/>
  <c r="E14"/>
  <c r="N22"/>
  <c r="F22" s="1"/>
  <c r="F21"/>
  <c r="K19"/>
  <c r="G33"/>
  <c r="D14"/>
  <c r="C13"/>
  <c r="C12" s="1"/>
  <c r="R33"/>
  <c r="Q33"/>
  <c r="N32"/>
  <c r="N27"/>
  <c r="F27" s="1"/>
  <c r="O12"/>
  <c r="O14"/>
  <c r="M22"/>
  <c r="E22" s="1"/>
  <c r="E21"/>
  <c r="N33"/>
  <c r="F33" s="1"/>
  <c r="F35" s="1"/>
  <c r="F14"/>
  <c r="K21"/>
  <c r="K22" s="1"/>
  <c r="L22"/>
  <c r="D21"/>
  <c r="C21" s="1"/>
  <c r="R40" i="5" l="1"/>
  <c r="R41" s="1"/>
  <c r="F41"/>
  <c r="O31"/>
  <c r="C44"/>
  <c r="C47"/>
  <c r="C39"/>
  <c r="C43"/>
  <c r="P40"/>
  <c r="P41" s="1"/>
  <c r="D41"/>
  <c r="R31"/>
  <c r="F44"/>
  <c r="F47"/>
  <c r="R47" s="1"/>
  <c r="F39"/>
  <c r="F43"/>
  <c r="Q40"/>
  <c r="Q41" s="1"/>
  <c r="E41"/>
  <c r="O40"/>
  <c r="O41" s="1"/>
  <c r="C41"/>
  <c r="P31"/>
  <c r="D44"/>
  <c r="D47"/>
  <c r="P47" s="1"/>
  <c r="D39"/>
  <c r="D43"/>
  <c r="Q31"/>
  <c r="E44"/>
  <c r="E47"/>
  <c r="Q47" s="1"/>
  <c r="E39"/>
  <c r="E43"/>
  <c r="H24" i="4"/>
  <c r="Q23"/>
  <c r="Q24" s="1"/>
  <c r="Q32"/>
  <c r="E32" s="1"/>
  <c r="R23"/>
  <c r="R32"/>
  <c r="F32" s="1"/>
  <c r="C19"/>
  <c r="P23"/>
  <c r="P24" s="1"/>
  <c r="P32"/>
  <c r="O22"/>
  <c r="O27" s="1"/>
  <c r="O26"/>
  <c r="M24"/>
  <c r="E24" s="1"/>
  <c r="E23"/>
  <c r="E26" s="1"/>
  <c r="O33"/>
  <c r="K27"/>
  <c r="D22"/>
  <c r="L27"/>
  <c r="K26"/>
  <c r="D32"/>
  <c r="C22"/>
  <c r="M27"/>
  <c r="C14"/>
  <c r="D24" l="1"/>
  <c r="C27"/>
  <c r="Q44" i="5"/>
  <c r="Q43"/>
  <c r="Q39"/>
  <c r="R44"/>
  <c r="R39"/>
  <c r="R43"/>
  <c r="P44"/>
  <c r="P43"/>
  <c r="P39"/>
  <c r="O44"/>
  <c r="O47"/>
  <c r="O43"/>
  <c r="O39"/>
  <c r="E27" i="4"/>
  <c r="M33"/>
  <c r="E33" s="1"/>
  <c r="E35" s="1"/>
  <c r="O23"/>
  <c r="O24" s="1"/>
  <c r="O32"/>
  <c r="K23"/>
  <c r="K24" s="1"/>
  <c r="C24" s="1"/>
  <c r="K32"/>
  <c r="C32" s="1"/>
  <c r="D27"/>
  <c r="L33"/>
  <c r="D33" s="1"/>
  <c r="D35" s="1"/>
  <c r="R24"/>
  <c r="F24" s="1"/>
  <c r="F23"/>
  <c r="F26" s="1"/>
  <c r="K33"/>
  <c r="C33" s="1"/>
  <c r="C35" s="1"/>
  <c r="D23"/>
  <c r="C23" l="1"/>
  <c r="C26" s="1"/>
  <c r="D26"/>
</calcChain>
</file>

<file path=xl/sharedStrings.xml><?xml version="1.0" encoding="utf-8"?>
<sst xmlns="http://schemas.openxmlformats.org/spreadsheetml/2006/main" count="197" uniqueCount="100">
  <si>
    <t>Економіст __________ Марина БОНДАРУК</t>
  </si>
  <si>
    <t>В складовій тарифу враховано використання  обігових коштів діючого тарифу, які були закладені на придбання природнього газу  та електроенергії розрахунок додається .</t>
  </si>
  <si>
    <r>
      <t>Підставою для розрахунку  статті розрахунковий прибуток: Інше використання прибутку проведено згідно п.12</t>
    </r>
    <r>
      <rPr>
        <sz val="11"/>
        <rFont val="Calibri"/>
        <family val="2"/>
        <charset val="204"/>
      </rPr>
      <t>' розділу Загальні положення та  пункту 27 розділу Визначення планованого прибутку для врахування в тарифах на теплову енергію, її виробництво, транспортування та постачання Постанови КМУ "Про забезпечення єдиного підходу до формування тарифів на комунальні послуги" від 01.06.2011 № 869  (зі змінами та доповненнями). Розрахунок проводився без врахування витрат  на відшкодування втрат теплової енергії в теплових мережах. Планування складової частини прибутку, що передбачається для здійснення заходів  інвестиційної програми (інвестиційна складова) проводився відповідно до Інвестиційної програми КП "Лебединтеплоенерго" на 2022-2023 роки, затвердженої наказом підприємства та погодженої виконкомом Лебединської міської ради (копія додається).</t>
    </r>
  </si>
  <si>
    <t>%</t>
  </si>
  <si>
    <t>Зростання тарифів</t>
  </si>
  <si>
    <t>грн./Гкал</t>
  </si>
  <si>
    <t>Діючі тарифи</t>
  </si>
  <si>
    <t>грн.</t>
  </si>
  <si>
    <t>Запропонований тариф</t>
  </si>
  <si>
    <t>Невикористані кошти інвестиційної програми</t>
  </si>
  <si>
    <t>Невикористані обігові кошти попереднього тарифу</t>
  </si>
  <si>
    <t>Розрахунковий прибуток</t>
  </si>
  <si>
    <t>Витрати з податку на прибуток</t>
  </si>
  <si>
    <t>інше використання прибутку</t>
  </si>
  <si>
    <t>Розподіл інвестиційної складової прибутку</t>
  </si>
  <si>
    <t>в т.ч. за рахунок прибутку</t>
  </si>
  <si>
    <t>Згідно затвердженої інвестиційної програми (ІП) на 2022 рік</t>
  </si>
  <si>
    <t>грн/Гкал</t>
  </si>
  <si>
    <t>Всього витрати собівартості в тарифах на теплову енергію</t>
  </si>
  <si>
    <t>грн</t>
  </si>
  <si>
    <t>Всього витрати собівартості без врахування втрат в теплових мережах</t>
  </si>
  <si>
    <t>-</t>
  </si>
  <si>
    <t>витрати на покриття втрат теплової енергії в теплових мережах</t>
  </si>
  <si>
    <t>Гкал</t>
  </si>
  <si>
    <t>втрати в теплових мережах</t>
  </si>
  <si>
    <t>Відпуск з колекторів</t>
  </si>
  <si>
    <t>Корисний відпуск</t>
  </si>
  <si>
    <t>інші</t>
  </si>
  <si>
    <t>бюджет</t>
  </si>
  <si>
    <t>населення</t>
  </si>
  <si>
    <t>в т.ч.в розрізі категрій</t>
  </si>
  <si>
    <t>Всього постачання</t>
  </si>
  <si>
    <t>в т.ч.в розрізі категорій</t>
  </si>
  <si>
    <t>Всього транспортування</t>
  </si>
  <si>
    <t>Всього виробництво</t>
  </si>
  <si>
    <t>Постачання ТЕ</t>
  </si>
  <si>
    <t>Транспортування ТЕ</t>
  </si>
  <si>
    <t>Виробництво ТЕ</t>
  </si>
  <si>
    <t>Всього теплова енергія</t>
  </si>
  <si>
    <t>в т.ч.:</t>
  </si>
  <si>
    <t>Теплова енергія ВСЬОГО</t>
  </si>
  <si>
    <t>Од. виміру</t>
  </si>
  <si>
    <t>Складова тарифу</t>
  </si>
  <si>
    <t>Розрахунок тарифів на теплову енергію КП "Лебединтеплоенерго"</t>
  </si>
  <si>
    <t>Марина БОНДАРУК</t>
  </si>
  <si>
    <t>Економіст</t>
  </si>
  <si>
    <t>Павло  ЛЮБИВИЙ</t>
  </si>
  <si>
    <t>ДИРЕКТОР</t>
  </si>
  <si>
    <t>ВСЬОГО ВИТРАТ З ОПЕРАЦІЙНОЇ ДІЯЛЬНОСТІ</t>
  </si>
  <si>
    <t xml:space="preserve">Інші витрати </t>
  </si>
  <si>
    <t>ЄСВ</t>
  </si>
  <si>
    <t xml:space="preserve">ФОП </t>
  </si>
  <si>
    <t>Електрична енергія + вода</t>
  </si>
  <si>
    <t>Паливо</t>
  </si>
  <si>
    <t>ВИТРАТИ ОПЕРАЦІЙНОЇ ДІЯЛЬНОСТІ  ЗА ЕКОНОМІЧНИМИ ЕЛЕМЕНТАМИ</t>
  </si>
  <si>
    <t>Вартість  теплової енергії</t>
  </si>
  <si>
    <t>Відпуск теплової енергії з колекторів власних котелень</t>
  </si>
  <si>
    <t>Реалізація теплової енергії власним споживачам</t>
  </si>
  <si>
    <t xml:space="preserve">Паливо у повній собівартості </t>
  </si>
  <si>
    <t xml:space="preserve">Паливна складова у повній собівартості </t>
  </si>
  <si>
    <t>Паливна складова (пр.газ + розподіл+транспортування)</t>
  </si>
  <si>
    <t>Тарифи на постачання  теплової енергії з ПДВ</t>
  </si>
  <si>
    <t>Тарифи на постачання  теплової енергії</t>
  </si>
  <si>
    <t>Рентабельність</t>
  </si>
  <si>
    <t xml:space="preserve">Плановий прибуток на 1 Гкал </t>
  </si>
  <si>
    <t xml:space="preserve"> грн./Гкал</t>
  </si>
  <si>
    <t>обігові кошти</t>
  </si>
  <si>
    <t xml:space="preserve">виробничі інвестиції на 1 Гкал  </t>
  </si>
  <si>
    <t>виробничі інвестиції</t>
  </si>
  <si>
    <t>податок на прибуток</t>
  </si>
  <si>
    <t>Плановий прибуток, усього, зокрема:</t>
  </si>
  <si>
    <t>інші витрати</t>
  </si>
  <si>
    <t>витрати на оплату праці</t>
  </si>
  <si>
    <t>Адміністративні витрати, зокрема:</t>
  </si>
  <si>
    <t xml:space="preserve">інші витрати </t>
  </si>
  <si>
    <t>загальновиробничі витрати, зокрема:</t>
  </si>
  <si>
    <t>Витрати на покриття втрат в теплових мережах</t>
  </si>
  <si>
    <t>амортизаційні відрахування</t>
  </si>
  <si>
    <t>інші прямі витрати, зокрема:</t>
  </si>
  <si>
    <t>на оплату праці</t>
  </si>
  <si>
    <t>запасні частини та інші матеріальні ресурси</t>
  </si>
  <si>
    <t xml:space="preserve">вода для технол. потреб </t>
  </si>
  <si>
    <t>електроенергія</t>
  </si>
  <si>
    <t xml:space="preserve"> послуги з розподілу природнього газу</t>
  </si>
  <si>
    <t>послуги з транспорт.  природнього газу</t>
  </si>
  <si>
    <t>природній газ</t>
  </si>
  <si>
    <t>паливо в т.ч.</t>
  </si>
  <si>
    <t>прямі матер. витрати, зокрема:</t>
  </si>
  <si>
    <t>Виробнича собівартість, зокрема:</t>
  </si>
  <si>
    <t>всього</t>
  </si>
  <si>
    <t xml:space="preserve">населення </t>
  </si>
  <si>
    <t>Всього</t>
  </si>
  <si>
    <t>Інші</t>
  </si>
  <si>
    <t>Виробництво, транспортування, постачання теплової енергії</t>
  </si>
  <si>
    <t>Постачання теплової енергії</t>
  </si>
  <si>
    <t xml:space="preserve">Транспортування теплової енергії </t>
  </si>
  <si>
    <t>Виробництво теплової енергії</t>
  </si>
  <si>
    <t>Одиниці виміру</t>
  </si>
  <si>
    <t>Показники</t>
  </si>
  <si>
    <t>Структура тарифа на постачання теплової енергії,  її виробництво,транспортування та постачання  в розрахунку на 1 Гкал по КП "Лебединтеплоенерго" на опалювальний період 2022-2023 роки.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</si>
</sst>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4" fillId="0" borderId="0" xfId="1"/>
    <xf numFmtId="0" fontId="5" fillId="0" borderId="0" xfId="1" applyFont="1" applyFill="1"/>
    <xf numFmtId="0" fontId="5" fillId="0" borderId="0" xfId="1" applyFont="1"/>
    <xf numFmtId="0" fontId="5" fillId="0" borderId="0" xfId="1" applyFont="1" applyFill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4" fontId="5" fillId="0" borderId="0" xfId="1" applyNumberFormat="1" applyFont="1" applyFill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center" vertical="center"/>
    </xf>
    <xf numFmtId="4" fontId="5" fillId="0" borderId="5" xfId="1" applyNumberFormat="1" applyFont="1" applyBorder="1" applyAlignment="1">
      <alignment horizontal="center" vertical="center"/>
    </xf>
    <xf numFmtId="4" fontId="5" fillId="0" borderId="6" xfId="1" applyNumberFormat="1" applyFont="1" applyBorder="1" applyAlignment="1">
      <alignment horizontal="center" vertical="center"/>
    </xf>
    <xf numFmtId="4" fontId="5" fillId="0" borderId="7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4" fontId="5" fillId="0" borderId="9" xfId="1" applyNumberFormat="1" applyFont="1" applyFill="1" applyBorder="1" applyAlignment="1">
      <alignment horizontal="center" vertical="center"/>
    </xf>
    <xf numFmtId="4" fontId="5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2" fontId="5" fillId="0" borderId="9" xfId="1" applyNumberFormat="1" applyFont="1" applyFill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/>
    </xf>
    <xf numFmtId="0" fontId="2" fillId="0" borderId="0" xfId="1" applyFont="1"/>
    <xf numFmtId="4" fontId="9" fillId="0" borderId="9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3" fontId="9" fillId="0" borderId="9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4" fontId="2" fillId="0" borderId="9" xfId="1" applyNumberFormat="1" applyFont="1" applyFill="1" applyBorder="1" applyAlignment="1">
      <alignment horizontal="center" vertical="center"/>
    </xf>
    <xf numFmtId="4" fontId="2" fillId="0" borderId="9" xfId="1" applyNumberFormat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 wrapText="1"/>
    </xf>
    <xf numFmtId="10" fontId="5" fillId="0" borderId="9" xfId="1" applyNumberFormat="1" applyFont="1" applyFill="1" applyBorder="1" applyAlignment="1">
      <alignment horizontal="center" vertical="center"/>
    </xf>
    <xf numFmtId="4" fontId="9" fillId="0" borderId="9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2" fontId="9" fillId="0" borderId="9" xfId="1" applyNumberFormat="1" applyFont="1" applyFill="1" applyBorder="1" applyAlignment="1">
      <alignment horizontal="center" vertical="center"/>
    </xf>
    <xf numFmtId="2" fontId="9" fillId="0" borderId="9" xfId="1" applyNumberFormat="1" applyFont="1" applyBorder="1" applyAlignment="1">
      <alignment horizontal="center" vertical="center"/>
    </xf>
    <xf numFmtId="164" fontId="12" fillId="0" borderId="9" xfId="1" applyNumberFormat="1" applyFont="1" applyFill="1" applyBorder="1" applyAlignment="1">
      <alignment horizontal="center" vertical="center"/>
    </xf>
    <xf numFmtId="164" fontId="12" fillId="0" borderId="9" xfId="1" applyNumberFormat="1" applyFont="1" applyBorder="1" applyAlignment="1">
      <alignment horizontal="center" vertical="center"/>
    </xf>
    <xf numFmtId="10" fontId="12" fillId="0" borderId="9" xfId="1" applyNumberFormat="1" applyFont="1" applyFill="1" applyBorder="1" applyAlignment="1">
      <alignment horizontal="center" vertical="center"/>
    </xf>
    <xf numFmtId="0" fontId="13" fillId="0" borderId="9" xfId="1" applyFont="1" applyBorder="1" applyAlignment="1">
      <alignment horizontal="center" vertical="center" wrapText="1"/>
    </xf>
    <xf numFmtId="4" fontId="14" fillId="0" borderId="9" xfId="1" applyNumberFormat="1" applyFont="1" applyFill="1" applyBorder="1" applyAlignment="1">
      <alignment horizontal="center" vertical="center"/>
    </xf>
    <xf numFmtId="4" fontId="14" fillId="0" borderId="9" xfId="1" applyNumberFormat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4" fontId="12" fillId="0" borderId="9" xfId="1" applyNumberFormat="1" applyFont="1" applyFill="1" applyBorder="1" applyAlignment="1">
      <alignment horizontal="center" vertical="center"/>
    </xf>
    <xf numFmtId="4" fontId="12" fillId="0" borderId="9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" fontId="9" fillId="0" borderId="9" xfId="1" applyNumberFormat="1" applyFont="1" applyFill="1" applyBorder="1" applyAlignment="1">
      <alignment horizontal="center" vertical="center"/>
    </xf>
    <xf numFmtId="1" fontId="14" fillId="0" borderId="9" xfId="1" applyNumberFormat="1" applyFont="1" applyFill="1" applyBorder="1" applyAlignment="1">
      <alignment horizontal="center" vertical="center"/>
    </xf>
    <xf numFmtId="2" fontId="14" fillId="0" borderId="9" xfId="1" applyNumberFormat="1" applyFont="1" applyBorder="1" applyAlignment="1">
      <alignment horizontal="center" vertical="center"/>
    </xf>
    <xf numFmtId="2" fontId="14" fillId="0" borderId="9" xfId="1" applyNumberFormat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 textRotation="90" wrapText="1"/>
    </xf>
    <xf numFmtId="0" fontId="6" fillId="0" borderId="21" xfId="1" applyFont="1" applyFill="1" applyBorder="1" applyAlignment="1">
      <alignment horizontal="center" vertical="center" textRotation="90" wrapText="1"/>
    </xf>
    <xf numFmtId="0" fontId="6" fillId="0" borderId="22" xfId="1" applyFont="1" applyFill="1" applyBorder="1" applyAlignment="1">
      <alignment horizontal="center" vertical="center" textRotation="90" wrapText="1"/>
    </xf>
    <xf numFmtId="0" fontId="6" fillId="0" borderId="20" xfId="1" applyFont="1" applyBorder="1" applyAlignment="1">
      <alignment horizontal="center" vertical="center" textRotation="90" wrapText="1"/>
    </xf>
    <xf numFmtId="0" fontId="6" fillId="0" borderId="21" xfId="1" applyFont="1" applyBorder="1" applyAlignment="1">
      <alignment horizontal="center" vertical="center" textRotation="90" wrapText="1"/>
    </xf>
    <xf numFmtId="0" fontId="17" fillId="0" borderId="0" xfId="1" applyFont="1" applyFill="1"/>
    <xf numFmtId="0" fontId="18" fillId="0" borderId="0" xfId="1" applyFont="1"/>
    <xf numFmtId="2" fontId="5" fillId="0" borderId="0" xfId="1" applyNumberFormat="1" applyFont="1" applyFill="1"/>
    <xf numFmtId="0" fontId="19" fillId="2" borderId="0" xfId="1" applyFont="1" applyFill="1"/>
    <xf numFmtId="2" fontId="5" fillId="0" borderId="0" xfId="1" applyNumberFormat="1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center" vertical="center" wrapText="1"/>
    </xf>
    <xf numFmtId="49" fontId="20" fillId="2" borderId="0" xfId="1" applyNumberFormat="1" applyFont="1" applyFill="1" applyAlignment="1">
      <alignment horizontal="center" vertical="center" wrapText="1"/>
    </xf>
    <xf numFmtId="49" fontId="21" fillId="2" borderId="0" xfId="1" applyNumberFormat="1" applyFont="1" applyFill="1" applyAlignment="1">
      <alignment horizontal="center" vertical="center" wrapText="1"/>
    </xf>
    <xf numFmtId="2" fontId="22" fillId="0" borderId="42" xfId="1" applyNumberFormat="1" applyFont="1" applyFill="1" applyBorder="1" applyAlignment="1">
      <alignment horizontal="center" vertical="center" wrapText="1"/>
    </xf>
    <xf numFmtId="2" fontId="23" fillId="0" borderId="42" xfId="1" applyNumberFormat="1" applyFont="1" applyBorder="1" applyAlignment="1">
      <alignment horizontal="center" vertical="center" wrapText="1"/>
    </xf>
    <xf numFmtId="2" fontId="22" fillId="0" borderId="42" xfId="1" applyNumberFormat="1" applyFont="1" applyBorder="1" applyAlignment="1">
      <alignment vertical="center" wrapText="1"/>
    </xf>
    <xf numFmtId="2" fontId="22" fillId="0" borderId="42" xfId="1" applyNumberFormat="1" applyFont="1" applyBorder="1" applyAlignment="1">
      <alignment horizontal="left" vertical="center" wrapText="1"/>
    </xf>
    <xf numFmtId="2" fontId="23" fillId="0" borderId="42" xfId="1" applyNumberFormat="1" applyFont="1" applyFill="1" applyBorder="1" applyAlignment="1">
      <alignment horizontal="center" vertical="center" wrapText="1"/>
    </xf>
    <xf numFmtId="2" fontId="21" fillId="0" borderId="44" xfId="1" applyNumberFormat="1" applyFont="1" applyFill="1" applyBorder="1" applyAlignment="1">
      <alignment vertical="center" wrapText="1"/>
    </xf>
    <xf numFmtId="0" fontId="24" fillId="0" borderId="45" xfId="1" applyFont="1" applyFill="1" applyBorder="1" applyAlignment="1">
      <alignment horizontal="center" vertical="center" wrapText="1"/>
    </xf>
    <xf numFmtId="2" fontId="22" fillId="0" borderId="46" xfId="1" applyNumberFormat="1" applyFont="1" applyBorder="1" applyAlignment="1">
      <alignment vertical="center" wrapText="1"/>
    </xf>
    <xf numFmtId="0" fontId="25" fillId="0" borderId="45" xfId="1" applyFont="1" applyFill="1" applyBorder="1" applyAlignment="1">
      <alignment horizontal="center" vertical="center" wrapText="1"/>
    </xf>
    <xf numFmtId="0" fontId="22" fillId="0" borderId="46" xfId="1" applyFont="1" applyBorder="1" applyAlignment="1">
      <alignment vertical="center" wrapText="1"/>
    </xf>
    <xf numFmtId="0" fontId="22" fillId="0" borderId="46" xfId="1" applyFont="1" applyFill="1" applyBorder="1" applyAlignment="1">
      <alignment vertical="center" wrapText="1"/>
    </xf>
    <xf numFmtId="0" fontId="4" fillId="0" borderId="0" xfId="1" applyFill="1"/>
    <xf numFmtId="165" fontId="21" fillId="0" borderId="44" xfId="1" applyNumberFormat="1" applyFont="1" applyFill="1" applyBorder="1" applyAlignment="1">
      <alignment vertical="center" wrapText="1"/>
    </xf>
    <xf numFmtId="2" fontId="22" fillId="0" borderId="44" xfId="1" applyNumberFormat="1" applyFont="1" applyFill="1" applyBorder="1" applyAlignment="1">
      <alignment vertical="center" wrapText="1"/>
    </xf>
    <xf numFmtId="2" fontId="25" fillId="0" borderId="45" xfId="1" applyNumberFormat="1" applyFont="1" applyFill="1" applyBorder="1" applyAlignment="1">
      <alignment horizontal="center" vertical="center" wrapText="1"/>
    </xf>
    <xf numFmtId="2" fontId="22" fillId="0" borderId="47" xfId="1" applyNumberFormat="1" applyFont="1" applyFill="1" applyBorder="1" applyAlignment="1">
      <alignment vertical="center" wrapText="1"/>
    </xf>
    <xf numFmtId="0" fontId="22" fillId="0" borderId="44" xfId="1" applyFont="1" applyFill="1" applyBorder="1" applyAlignment="1">
      <alignment vertical="center" wrapText="1"/>
    </xf>
    <xf numFmtId="0" fontId="22" fillId="0" borderId="48" xfId="1" applyFont="1" applyFill="1" applyBorder="1" applyAlignment="1">
      <alignment vertical="center" wrapText="1"/>
    </xf>
    <xf numFmtId="2" fontId="22" fillId="0" borderId="48" xfId="1" applyNumberFormat="1" applyFont="1" applyFill="1" applyBorder="1" applyAlignment="1">
      <alignment vertical="center" wrapText="1"/>
    </xf>
    <xf numFmtId="0" fontId="22" fillId="0" borderId="49" xfId="1" applyFont="1" applyFill="1" applyBorder="1" applyAlignment="1">
      <alignment vertical="center" wrapText="1"/>
    </xf>
    <xf numFmtId="2" fontId="22" fillId="0" borderId="46" xfId="1" applyNumberFormat="1" applyFont="1" applyFill="1" applyBorder="1" applyAlignment="1">
      <alignment vertical="center" wrapText="1"/>
    </xf>
    <xf numFmtId="0" fontId="22" fillId="0" borderId="50" xfId="1" applyFont="1" applyFill="1" applyBorder="1" applyAlignment="1">
      <alignment horizontal="left" vertical="center" wrapText="1"/>
    </xf>
    <xf numFmtId="1" fontId="26" fillId="0" borderId="51" xfId="1" applyNumberFormat="1" applyFont="1" applyFill="1" applyBorder="1" applyAlignment="1">
      <alignment horizontal="center" vertical="center" wrapText="1"/>
    </xf>
    <xf numFmtId="0" fontId="26" fillId="0" borderId="51" xfId="1" applyFont="1" applyFill="1" applyBorder="1" applyAlignment="1">
      <alignment horizontal="center" vertical="center" wrapText="1"/>
    </xf>
    <xf numFmtId="1" fontId="5" fillId="0" borderId="52" xfId="1" applyNumberFormat="1" applyFont="1" applyFill="1" applyBorder="1"/>
    <xf numFmtId="0" fontId="26" fillId="0" borderId="0" xfId="1" applyFont="1" applyFill="1" applyBorder="1" applyAlignment="1">
      <alignment horizontal="center" vertical="center" wrapText="1"/>
    </xf>
    <xf numFmtId="0" fontId="22" fillId="0" borderId="46" xfId="1" applyFont="1" applyBorder="1" applyAlignment="1">
      <alignment horizontal="center" vertical="center" wrapText="1"/>
    </xf>
    <xf numFmtId="2" fontId="22" fillId="0" borderId="42" xfId="1" applyNumberFormat="1" applyFont="1" applyFill="1" applyBorder="1" applyAlignment="1">
      <alignment horizontal="left" vertical="center" textRotation="90" wrapText="1"/>
    </xf>
    <xf numFmtId="1" fontId="22" fillId="0" borderId="53" xfId="1" applyNumberFormat="1" applyFont="1" applyFill="1" applyBorder="1" applyAlignment="1">
      <alignment horizontal="left" vertical="center" textRotation="90" wrapText="1"/>
    </xf>
    <xf numFmtId="1" fontId="22" fillId="0" borderId="54" xfId="1" applyNumberFormat="1" applyFont="1" applyFill="1" applyBorder="1" applyAlignment="1">
      <alignment horizontal="left" vertical="center" textRotation="90" wrapText="1"/>
    </xf>
    <xf numFmtId="2" fontId="22" fillId="0" borderId="54" xfId="1" applyNumberFormat="1" applyFont="1" applyFill="1" applyBorder="1" applyAlignment="1">
      <alignment horizontal="left" vertical="center" textRotation="90" wrapText="1"/>
    </xf>
    <xf numFmtId="0" fontId="5" fillId="0" borderId="58" xfId="1" applyFont="1" applyFill="1" applyBorder="1" applyAlignment="1"/>
    <xf numFmtId="49" fontId="20" fillId="2" borderId="0" xfId="1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28" fillId="2" borderId="0" xfId="1" applyNumberFormat="1" applyFont="1" applyFill="1" applyAlignment="1">
      <alignment horizontal="center" vertical="center" wrapText="1"/>
    </xf>
    <xf numFmtId="0" fontId="28" fillId="2" borderId="53" xfId="1" applyNumberFormat="1" applyFont="1" applyFill="1" applyBorder="1" applyAlignment="1">
      <alignment horizontal="center" vertical="center"/>
    </xf>
    <xf numFmtId="0" fontId="28" fillId="2" borderId="0" xfId="1" applyNumberFormat="1" applyFont="1" applyFill="1" applyBorder="1" applyAlignment="1">
      <alignment horizontal="center" vertical="center"/>
    </xf>
    <xf numFmtId="0" fontId="22" fillId="0" borderId="50" xfId="1" applyFont="1" applyBorder="1" applyAlignment="1">
      <alignment horizontal="center" vertical="center" wrapText="1"/>
    </xf>
    <xf numFmtId="0" fontId="22" fillId="0" borderId="49" xfId="1" applyFont="1" applyBorder="1" applyAlignment="1">
      <alignment horizontal="center" vertical="center" wrapText="1"/>
    </xf>
    <xf numFmtId="0" fontId="22" fillId="0" borderId="46" xfId="1" applyFont="1" applyBorder="1" applyAlignment="1">
      <alignment horizontal="center" vertical="center" wrapText="1"/>
    </xf>
    <xf numFmtId="0" fontId="26" fillId="0" borderId="57" xfId="1" applyFont="1" applyFill="1" applyBorder="1" applyAlignment="1">
      <alignment horizontal="center" vertical="center" wrapText="1"/>
    </xf>
    <xf numFmtId="0" fontId="26" fillId="0" borderId="51" xfId="1" applyFont="1" applyFill="1" applyBorder="1" applyAlignment="1">
      <alignment horizontal="center" vertical="center" wrapText="1"/>
    </xf>
    <xf numFmtId="0" fontId="26" fillId="0" borderId="54" xfId="1" applyFont="1" applyFill="1" applyBorder="1" applyAlignment="1">
      <alignment horizontal="center" vertical="center" wrapText="1"/>
    </xf>
    <xf numFmtId="0" fontId="27" fillId="0" borderId="52" xfId="1" applyFont="1" applyFill="1" applyBorder="1" applyAlignment="1">
      <alignment horizontal="center" vertical="center" wrapText="1"/>
    </xf>
    <xf numFmtId="0" fontId="27" fillId="0" borderId="56" xfId="1" applyFont="1" applyFill="1" applyBorder="1" applyAlignment="1">
      <alignment horizontal="center" vertical="center" wrapText="1"/>
    </xf>
    <xf numFmtId="0" fontId="27" fillId="0" borderId="55" xfId="1" applyFont="1" applyFill="1" applyBorder="1" applyAlignment="1">
      <alignment horizontal="center" vertical="center" wrapText="1"/>
    </xf>
    <xf numFmtId="2" fontId="23" fillId="0" borderId="43" xfId="1" applyNumberFormat="1" applyFont="1" applyBorder="1" applyAlignment="1">
      <alignment horizontal="center" vertical="center" wrapText="1"/>
    </xf>
    <xf numFmtId="0" fontId="16" fillId="0" borderId="0" xfId="1" applyFont="1" applyAlignment="1">
      <alignment horizontal="center"/>
    </xf>
    <xf numFmtId="0" fontId="3" fillId="0" borderId="18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0" fontId="6" fillId="0" borderId="4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textRotation="90" wrapText="1"/>
    </xf>
    <xf numFmtId="0" fontId="6" fillId="0" borderId="32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39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center" vertical="center" wrapText="1"/>
    </xf>
    <xf numFmtId="0" fontId="6" fillId="0" borderId="35" xfId="1" applyFont="1" applyFill="1" applyBorder="1" applyAlignment="1">
      <alignment horizontal="center" vertical="center" wrapText="1"/>
    </xf>
    <xf numFmtId="0" fontId="6" fillId="0" borderId="34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textRotation="90" wrapText="1"/>
    </xf>
    <xf numFmtId="0" fontId="6" fillId="0" borderId="23" xfId="1" applyFont="1" applyFill="1" applyBorder="1" applyAlignment="1">
      <alignment horizontal="center" vertical="center" textRotation="90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textRotation="90" wrapText="1"/>
    </xf>
    <xf numFmtId="0" fontId="6" fillId="0" borderId="24" xfId="1" applyFont="1" applyFill="1" applyBorder="1" applyAlignment="1">
      <alignment horizontal="center" vertical="center" textRotation="90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4" fontId="12" fillId="0" borderId="9" xfId="1" applyNumberFormat="1" applyFont="1" applyBorder="1" applyAlignment="1">
      <alignment horizontal="center" vertical="center"/>
    </xf>
    <xf numFmtId="4" fontId="12" fillId="0" borderId="9" xfId="1" applyNumberFormat="1" applyFont="1" applyFill="1" applyBorder="1" applyAlignment="1">
      <alignment horizontal="center" vertical="center"/>
    </xf>
    <xf numFmtId="4" fontId="12" fillId="0" borderId="14" xfId="1" applyNumberFormat="1" applyFont="1" applyFill="1" applyBorder="1" applyAlignment="1">
      <alignment horizontal="center" vertical="center"/>
    </xf>
    <xf numFmtId="4" fontId="12" fillId="0" borderId="13" xfId="1" applyNumberFormat="1" applyFont="1" applyFill="1" applyBorder="1" applyAlignment="1">
      <alignment horizontal="center" vertical="center"/>
    </xf>
    <xf numFmtId="4" fontId="12" fillId="0" borderId="12" xfId="1" applyNumberFormat="1" applyFont="1" applyFill="1" applyBorder="1" applyAlignment="1">
      <alignment horizontal="center" vertical="center"/>
    </xf>
    <xf numFmtId="4" fontId="5" fillId="0" borderId="14" xfId="1" applyNumberFormat="1" applyFont="1" applyFill="1" applyBorder="1" applyAlignment="1">
      <alignment horizontal="center" vertical="center"/>
    </xf>
    <xf numFmtId="4" fontId="5" fillId="0" borderId="13" xfId="1" applyNumberFormat="1" applyFont="1" applyFill="1" applyBorder="1" applyAlignment="1">
      <alignment horizontal="center" vertical="center"/>
    </xf>
    <xf numFmtId="4" fontId="5" fillId="0" borderId="12" xfId="1" applyNumberFormat="1" applyFont="1" applyFill="1" applyBorder="1" applyAlignment="1">
      <alignment horizontal="center" vertical="center"/>
    </xf>
    <xf numFmtId="0" fontId="10" fillId="0" borderId="15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6" fillId="0" borderId="9" xfId="1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4" fontId="5" fillId="0" borderId="14" xfId="1" applyNumberFormat="1" applyFont="1" applyBorder="1" applyAlignment="1">
      <alignment horizontal="center" vertical="center"/>
    </xf>
    <xf numFmtId="4" fontId="5" fillId="0" borderId="13" xfId="1" applyNumberFormat="1" applyFont="1" applyBorder="1" applyAlignment="1">
      <alignment horizontal="center" vertical="center"/>
    </xf>
    <xf numFmtId="4" fontId="5" fillId="0" borderId="12" xfId="1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3 15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ktronka\&#1086;&#1073;&#1097;&#1072;&#1103;%20&#1087;&#1072;&#1087;&#1082;&#1072;\&#1051;&#1072;&#1093;&#1090;&#1072;&#1088;%20&#1054;&#1083;&#1103;\&#1085;&#1072;%20&#1089;&#1072;&#1081;&#1090;%2005.07.22\&#1045;&#1082;&#1086;&#1085;&#1086;&#1084;&#1110;&#1082;&#1072;&#1044;.2,3,4,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 соб"/>
      <sheetName val="перер факту"/>
      <sheetName val="план"/>
      <sheetName val="розподіл "/>
      <sheetName val=" д.2"/>
      <sheetName val="д.3 "/>
      <sheetName val="д. 4 "/>
      <sheetName val="Ана"/>
      <sheetName val="Звед"/>
      <sheetName val="д.5"/>
      <sheetName val="св, ніч, веч."/>
    </sheetNames>
    <sheetDataSet>
      <sheetData sheetId="0"/>
      <sheetData sheetId="1"/>
      <sheetData sheetId="2"/>
      <sheetData sheetId="3">
        <row r="7">
          <cell r="F7">
            <v>11342053</v>
          </cell>
          <cell r="G7">
            <v>722712</v>
          </cell>
          <cell r="H7">
            <v>10598823</v>
          </cell>
          <cell r="I7">
            <v>20519</v>
          </cell>
        </row>
        <row r="30">
          <cell r="F30">
            <v>13821077</v>
          </cell>
          <cell r="J30">
            <v>620268</v>
          </cell>
          <cell r="K30">
            <v>3918</v>
          </cell>
          <cell r="M30">
            <v>454253</v>
          </cell>
          <cell r="N30">
            <v>20386</v>
          </cell>
          <cell r="O30">
            <v>130</v>
          </cell>
          <cell r="Q30">
            <v>1430054</v>
          </cell>
          <cell r="R30">
            <v>64179</v>
          </cell>
          <cell r="S30">
            <v>407</v>
          </cell>
        </row>
      </sheetData>
      <sheetData sheetId="4">
        <row r="23">
          <cell r="E23">
            <v>10330023</v>
          </cell>
          <cell r="F23">
            <v>601167</v>
          </cell>
          <cell r="G23">
            <v>9710059</v>
          </cell>
          <cell r="H23">
            <v>18797</v>
          </cell>
        </row>
        <row r="24">
          <cell r="E24">
            <v>110561</v>
          </cell>
          <cell r="F24">
            <v>13278.45</v>
          </cell>
          <cell r="G24">
            <v>97094.6</v>
          </cell>
          <cell r="H24">
            <v>187.95</v>
          </cell>
        </row>
        <row r="25">
          <cell r="E25">
            <v>901468</v>
          </cell>
          <cell r="F25">
            <v>108266.93</v>
          </cell>
          <cell r="G25">
            <v>791668.63</v>
          </cell>
          <cell r="H25">
            <v>1532.44</v>
          </cell>
        </row>
        <row r="26">
          <cell r="E26">
            <v>185390</v>
          </cell>
          <cell r="F26">
            <v>22265.47</v>
          </cell>
          <cell r="G26">
            <v>162809.38</v>
          </cell>
          <cell r="H26">
            <v>315.14999999999998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56472</v>
          </cell>
          <cell r="F33">
            <v>6782.33</v>
          </cell>
          <cell r="G33">
            <v>49593.67</v>
          </cell>
          <cell r="H33">
            <v>96</v>
          </cell>
        </row>
        <row r="34">
          <cell r="E34">
            <v>1725460</v>
          </cell>
          <cell r="F34">
            <v>207228.94</v>
          </cell>
          <cell r="G34">
            <v>1515297.89</v>
          </cell>
          <cell r="H34">
            <v>2933.17</v>
          </cell>
        </row>
        <row r="36">
          <cell r="E36">
            <v>379600.21</v>
          </cell>
          <cell r="F36">
            <v>45590.37</v>
          </cell>
          <cell r="G36">
            <v>333365.53999999998</v>
          </cell>
          <cell r="H36">
            <v>644.29999999999995</v>
          </cell>
        </row>
        <row r="37">
          <cell r="E37">
            <v>132101</v>
          </cell>
          <cell r="F37">
            <v>15865.42</v>
          </cell>
          <cell r="G37">
            <v>116011.02</v>
          </cell>
          <cell r="H37">
            <v>224.56</v>
          </cell>
        </row>
        <row r="40">
          <cell r="E40">
            <v>178269</v>
          </cell>
          <cell r="F40">
            <v>21410.23</v>
          </cell>
          <cell r="G40">
            <v>156555.72</v>
          </cell>
          <cell r="H40">
            <v>303.05</v>
          </cell>
        </row>
        <row r="41">
          <cell r="E41">
            <v>39219.18</v>
          </cell>
          <cell r="F41">
            <v>4710.25</v>
          </cell>
          <cell r="G41">
            <v>34442.26</v>
          </cell>
          <cell r="H41">
            <v>66.67</v>
          </cell>
        </row>
        <row r="42">
          <cell r="E42">
            <v>236764.79</v>
          </cell>
          <cell r="F42">
            <v>28435.64</v>
          </cell>
          <cell r="G42">
            <v>207926.87</v>
          </cell>
          <cell r="H42">
            <v>402.28</v>
          </cell>
        </row>
        <row r="44">
          <cell r="E44">
            <v>1074594.99</v>
          </cell>
          <cell r="F44">
            <v>129059.6</v>
          </cell>
          <cell r="G44">
            <v>943708.65</v>
          </cell>
          <cell r="H44">
            <v>1826.74</v>
          </cell>
        </row>
        <row r="45">
          <cell r="E45">
            <v>236410.89</v>
          </cell>
          <cell r="F45">
            <v>28393.11</v>
          </cell>
          <cell r="G45">
            <v>207615.9</v>
          </cell>
          <cell r="H45">
            <v>401.88</v>
          </cell>
        </row>
        <row r="46">
          <cell r="E46">
            <v>119048</v>
          </cell>
          <cell r="F46">
            <v>14297.75</v>
          </cell>
          <cell r="G46">
            <v>104547.88</v>
          </cell>
          <cell r="H46">
            <v>202.37</v>
          </cell>
        </row>
        <row r="52">
          <cell r="E52">
            <v>137900.91</v>
          </cell>
          <cell r="F52">
            <v>10947.08</v>
          </cell>
          <cell r="G52">
            <v>126708.56</v>
          </cell>
          <cell r="H52">
            <v>245.27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628215.28</v>
          </cell>
          <cell r="F56">
            <v>49870.06</v>
          </cell>
          <cell r="G56">
            <v>577227.88</v>
          </cell>
          <cell r="H56">
            <v>1117.3399999999999</v>
          </cell>
        </row>
        <row r="59">
          <cell r="E59">
            <v>5835.52</v>
          </cell>
          <cell r="F59">
            <v>700.85</v>
          </cell>
          <cell r="G59">
            <v>5124.75</v>
          </cell>
          <cell r="H59">
            <v>9.92</v>
          </cell>
        </row>
      </sheetData>
      <sheetData sheetId="5">
        <row r="24">
          <cell r="E24">
            <v>323745</v>
          </cell>
          <cell r="F24">
            <v>38886.49</v>
          </cell>
          <cell r="G24">
            <v>284312.01</v>
          </cell>
          <cell r="H24">
            <v>546.5</v>
          </cell>
        </row>
        <row r="26">
          <cell r="E26">
            <v>5285</v>
          </cell>
          <cell r="F26">
            <v>634.80999999999995</v>
          </cell>
          <cell r="G26">
            <v>4641.2700000000004</v>
          </cell>
          <cell r="H26">
            <v>8.92</v>
          </cell>
        </row>
        <row r="27">
          <cell r="E27">
            <v>2866</v>
          </cell>
          <cell r="F27">
            <v>344.25</v>
          </cell>
          <cell r="G27">
            <v>2516.91</v>
          </cell>
          <cell r="H27">
            <v>4.84</v>
          </cell>
        </row>
        <row r="28">
          <cell r="E28">
            <v>2141397.27</v>
          </cell>
          <cell r="F28">
            <v>169871.07</v>
          </cell>
          <cell r="G28">
            <v>1967743.81</v>
          </cell>
          <cell r="H28">
            <v>3782.39</v>
          </cell>
        </row>
        <row r="29">
          <cell r="E29">
            <v>232064.01</v>
          </cell>
          <cell r="F29">
            <v>27874.27</v>
          </cell>
          <cell r="G29">
            <v>203798</v>
          </cell>
          <cell r="H29">
            <v>391.74</v>
          </cell>
        </row>
        <row r="31">
          <cell r="E31">
            <v>51054.080000000002</v>
          </cell>
          <cell r="F31">
            <v>6132.34</v>
          </cell>
          <cell r="G31">
            <v>44835.56</v>
          </cell>
          <cell r="H31">
            <v>86.18</v>
          </cell>
        </row>
        <row r="32">
          <cell r="E32">
            <v>5254</v>
          </cell>
          <cell r="F32">
            <v>631.08000000000004</v>
          </cell>
          <cell r="G32">
            <v>4614.05</v>
          </cell>
          <cell r="H32">
            <v>8.8699999999999992</v>
          </cell>
        </row>
        <row r="35">
          <cell r="E35">
            <v>8000</v>
          </cell>
          <cell r="F35">
            <v>960.92</v>
          </cell>
          <cell r="G35">
            <v>7025.58</v>
          </cell>
          <cell r="H35">
            <v>13.5</v>
          </cell>
        </row>
        <row r="36">
          <cell r="E36">
            <v>1760</v>
          </cell>
          <cell r="F36">
            <v>211.4</v>
          </cell>
          <cell r="G36">
            <v>1545.63</v>
          </cell>
          <cell r="H36">
            <v>2.97</v>
          </cell>
        </row>
        <row r="37">
          <cell r="E37">
            <v>10626.01</v>
          </cell>
          <cell r="F37">
            <v>1276.3399999999999</v>
          </cell>
          <cell r="G37">
            <v>9331.73</v>
          </cell>
          <cell r="H37">
            <v>17.940000000000001</v>
          </cell>
        </row>
        <row r="39">
          <cell r="E39">
            <v>48226</v>
          </cell>
          <cell r="F39">
            <v>5792.64</v>
          </cell>
          <cell r="G39">
            <v>42351.95</v>
          </cell>
          <cell r="H39">
            <v>81.41</v>
          </cell>
        </row>
        <row r="40">
          <cell r="E40">
            <v>10609.72</v>
          </cell>
          <cell r="F40">
            <v>1274.3800000000001</v>
          </cell>
          <cell r="G40">
            <v>9317.43</v>
          </cell>
          <cell r="H40">
            <v>17.91</v>
          </cell>
        </row>
        <row r="41">
          <cell r="E41">
            <v>5343</v>
          </cell>
          <cell r="F41">
            <v>641.77</v>
          </cell>
          <cell r="G41">
            <v>4692.21</v>
          </cell>
          <cell r="H41">
            <v>9.02</v>
          </cell>
        </row>
        <row r="47">
          <cell r="E47">
            <v>43100.81</v>
          </cell>
          <cell r="F47">
            <v>5177.03</v>
          </cell>
          <cell r="G47">
            <v>37851.019999999997</v>
          </cell>
          <cell r="H47">
            <v>72.760000000000005</v>
          </cell>
        </row>
        <row r="50">
          <cell r="E50">
            <v>168154.8</v>
          </cell>
          <cell r="F50">
            <v>20197.84</v>
          </cell>
          <cell r="G50">
            <v>147673.1</v>
          </cell>
          <cell r="H50">
            <v>283.86</v>
          </cell>
        </row>
        <row r="51">
          <cell r="E51">
            <v>28193.31</v>
          </cell>
          <cell r="F51">
            <v>3386.43</v>
          </cell>
          <cell r="G51">
            <v>24759.29</v>
          </cell>
          <cell r="H51">
            <v>47.59</v>
          </cell>
        </row>
        <row r="63">
          <cell r="E63">
            <v>5076.82</v>
          </cell>
          <cell r="F63">
            <v>609.79999999999995</v>
          </cell>
          <cell r="G63">
            <v>4458.45</v>
          </cell>
          <cell r="H63">
            <v>8.57</v>
          </cell>
        </row>
      </sheetData>
      <sheetData sheetId="6">
        <row r="22">
          <cell r="E22">
            <v>3918</v>
          </cell>
          <cell r="F22">
            <v>470.61</v>
          </cell>
          <cell r="G22">
            <v>3440.78</v>
          </cell>
          <cell r="H22">
            <v>6.61</v>
          </cell>
        </row>
        <row r="29">
          <cell r="E29">
            <v>51.01</v>
          </cell>
          <cell r="F29">
            <v>6.13</v>
          </cell>
          <cell r="G29">
            <v>44.79</v>
          </cell>
          <cell r="H29">
            <v>0.09</v>
          </cell>
        </row>
        <row r="30">
          <cell r="E30">
            <v>11.22</v>
          </cell>
          <cell r="F30">
            <v>1.35</v>
          </cell>
          <cell r="G30">
            <v>9.85</v>
          </cell>
          <cell r="H30">
            <v>0.02</v>
          </cell>
        </row>
        <row r="31">
          <cell r="E31">
            <v>68</v>
          </cell>
          <cell r="F31">
            <v>8.17</v>
          </cell>
          <cell r="G31">
            <v>59.72</v>
          </cell>
          <cell r="H31">
            <v>0.11</v>
          </cell>
        </row>
        <row r="33">
          <cell r="E33">
            <v>304.99</v>
          </cell>
          <cell r="F33">
            <v>36.630000000000003</v>
          </cell>
          <cell r="G33">
            <v>267.85000000000002</v>
          </cell>
          <cell r="H33">
            <v>0.51</v>
          </cell>
        </row>
        <row r="34">
          <cell r="E34">
            <v>67.099999999999994</v>
          </cell>
          <cell r="F34">
            <v>8.06</v>
          </cell>
          <cell r="G34">
            <v>58.93</v>
          </cell>
          <cell r="H34">
            <v>0.11</v>
          </cell>
        </row>
        <row r="35">
          <cell r="E35">
            <v>35</v>
          </cell>
          <cell r="F35">
            <v>4.2</v>
          </cell>
          <cell r="G35">
            <v>30.74</v>
          </cell>
          <cell r="H35">
            <v>0.06</v>
          </cell>
        </row>
        <row r="41">
          <cell r="E41">
            <v>39.119999999999997</v>
          </cell>
          <cell r="F41">
            <v>4.7</v>
          </cell>
          <cell r="G41">
            <v>34.35</v>
          </cell>
          <cell r="H41">
            <v>7.0000000000000007E-2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E45">
            <v>178.22</v>
          </cell>
          <cell r="F45">
            <v>21.41</v>
          </cell>
          <cell r="G45">
            <v>156.51</v>
          </cell>
          <cell r="H45">
            <v>0.3</v>
          </cell>
        </row>
        <row r="46">
          <cell r="E46">
            <v>4672.66</v>
          </cell>
          <cell r="G46">
            <v>4103.5200000000004</v>
          </cell>
          <cell r="H46">
            <v>7.88</v>
          </cell>
        </row>
        <row r="48">
          <cell r="E48">
            <v>5076.82</v>
          </cell>
          <cell r="F48">
            <v>609.79999999999995</v>
          </cell>
          <cell r="G48">
            <v>4458.45</v>
          </cell>
          <cell r="H48">
            <v>8.57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>
      <selection sqref="A1:R1"/>
    </sheetView>
  </sheetViews>
  <sheetFormatPr defaultRowHeight="15"/>
  <cols>
    <col min="1" max="1" width="29.140625" style="67" customWidth="1"/>
    <col min="2" max="2" width="6.28515625" style="1" customWidth="1"/>
    <col min="3" max="3" width="8.140625" style="66" customWidth="1"/>
    <col min="4" max="6" width="8" style="66" customWidth="1"/>
    <col min="7" max="9" width="9.140625" style="66"/>
    <col min="10" max="10" width="7.7109375" style="66" customWidth="1"/>
    <col min="11" max="11" width="7.42578125" style="66" customWidth="1"/>
    <col min="12" max="12" width="7.85546875" style="66" customWidth="1"/>
    <col min="13" max="13" width="7" style="66" customWidth="1"/>
    <col min="14" max="14" width="7.42578125" style="66" customWidth="1"/>
    <col min="15" max="18" width="9.140625" style="66"/>
    <col min="19" max="16384" width="9.140625" style="1"/>
  </cols>
  <sheetData>
    <row r="1" spans="1:18" ht="48.75" customHeight="1" thickBot="1">
      <c r="A1" s="109" t="s">
        <v>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9" hidden="1" customHeight="1" thickBot="1">
      <c r="A2" s="110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"/>
      <c r="N2" s="68"/>
      <c r="O2" s="2"/>
      <c r="P2" s="2" t="s">
        <v>5</v>
      </c>
      <c r="Q2" s="106"/>
      <c r="R2" s="106"/>
    </row>
    <row r="3" spans="1:18">
      <c r="A3" s="112" t="s">
        <v>98</v>
      </c>
      <c r="B3" s="115" t="s">
        <v>97</v>
      </c>
      <c r="C3" s="118" t="s">
        <v>96</v>
      </c>
      <c r="D3" s="118"/>
      <c r="E3" s="118"/>
      <c r="F3" s="118"/>
      <c r="G3" s="118" t="s">
        <v>95</v>
      </c>
      <c r="H3" s="118"/>
      <c r="I3" s="118"/>
      <c r="J3" s="118"/>
      <c r="K3" s="118" t="s">
        <v>94</v>
      </c>
      <c r="L3" s="118"/>
      <c r="M3" s="118"/>
      <c r="N3" s="118"/>
      <c r="O3" s="118" t="s">
        <v>93</v>
      </c>
      <c r="P3" s="118"/>
      <c r="Q3" s="118"/>
      <c r="R3" s="118"/>
    </row>
    <row r="4" spans="1:18" ht="14.25" customHeight="1" thickBot="1">
      <c r="A4" s="113"/>
      <c r="B4" s="116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1:18" ht="14.25" hidden="1" customHeight="1" thickBot="1">
      <c r="A5" s="113"/>
      <c r="B5" s="116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1:18" ht="15.75" hidden="1" thickBot="1">
      <c r="A6" s="113"/>
      <c r="B6" s="116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</row>
    <row r="7" spans="1:18" ht="48.75" customHeight="1" thickBot="1">
      <c r="A7" s="114"/>
      <c r="B7" s="117"/>
      <c r="C7" s="105" t="s">
        <v>90</v>
      </c>
      <c r="D7" s="104" t="s">
        <v>28</v>
      </c>
      <c r="E7" s="104" t="s">
        <v>92</v>
      </c>
      <c r="F7" s="105" t="s">
        <v>91</v>
      </c>
      <c r="G7" s="105" t="s">
        <v>90</v>
      </c>
      <c r="H7" s="104" t="s">
        <v>28</v>
      </c>
      <c r="I7" s="105" t="s">
        <v>92</v>
      </c>
      <c r="J7" s="105" t="s">
        <v>91</v>
      </c>
      <c r="K7" s="104" t="s">
        <v>90</v>
      </c>
      <c r="L7" s="104" t="s">
        <v>28</v>
      </c>
      <c r="M7" s="103" t="s">
        <v>27</v>
      </c>
      <c r="N7" s="102" t="s">
        <v>89</v>
      </c>
      <c r="O7" s="104" t="s">
        <v>90</v>
      </c>
      <c r="P7" s="104" t="s">
        <v>28</v>
      </c>
      <c r="Q7" s="103" t="s">
        <v>27</v>
      </c>
      <c r="R7" s="102" t="s">
        <v>89</v>
      </c>
    </row>
    <row r="8" spans="1:18" ht="15.75" thickBot="1">
      <c r="A8" s="101">
        <v>1</v>
      </c>
      <c r="B8" s="98">
        <v>2</v>
      </c>
      <c r="C8" s="97">
        <v>3</v>
      </c>
      <c r="D8" s="98">
        <v>4</v>
      </c>
      <c r="E8" s="98">
        <v>5</v>
      </c>
      <c r="F8" s="97">
        <v>6</v>
      </c>
      <c r="G8" s="97">
        <v>7</v>
      </c>
      <c r="H8" s="98">
        <v>8</v>
      </c>
      <c r="I8" s="98">
        <v>9</v>
      </c>
      <c r="J8" s="97">
        <v>10</v>
      </c>
      <c r="K8" s="98">
        <v>11</v>
      </c>
      <c r="L8" s="98">
        <v>12</v>
      </c>
      <c r="M8" s="100">
        <v>13</v>
      </c>
      <c r="N8" s="99">
        <v>14</v>
      </c>
      <c r="O8" s="98">
        <v>15</v>
      </c>
      <c r="P8" s="98">
        <v>16</v>
      </c>
      <c r="Q8" s="98">
        <v>17</v>
      </c>
      <c r="R8" s="97">
        <v>18</v>
      </c>
    </row>
    <row r="9" spans="1:18" ht="15.75" thickBot="1">
      <c r="A9" s="85" t="s">
        <v>88</v>
      </c>
      <c r="B9" s="83" t="s">
        <v>65</v>
      </c>
      <c r="C9" s="80">
        <f>C10+C18+C19+C22+C23</f>
        <v>1533.8432210886783</v>
      </c>
      <c r="D9" s="80">
        <f>D10+D18+D19+D22+D23</f>
        <v>2570.8128850187813</v>
      </c>
      <c r="E9" s="80">
        <f>E10+E18+E19+E22+E23</f>
        <v>2570.8135887096778</v>
      </c>
      <c r="F9" s="80">
        <f>F10+F18+F19+F22+F23</f>
        <v>2446.2721102489581</v>
      </c>
      <c r="G9" s="80">
        <f>G10+G18+G19+G22+G23</f>
        <v>404.77052804198098</v>
      </c>
      <c r="H9" s="80">
        <f>H10+H18+H19+H22+H23+0.01</f>
        <v>567.55355213134624</v>
      </c>
      <c r="I9" s="80">
        <f>I10+I18+I19+I22+I23+0.01</f>
        <v>567.54375729288211</v>
      </c>
      <c r="J9" s="80">
        <f>J10+J18+J19+J22+J23+0.01</f>
        <v>548.00094117971491</v>
      </c>
      <c r="K9" s="80">
        <f>K10+K18+K19+K22+K23</f>
        <v>0.80740898655296833</v>
      </c>
      <c r="L9" s="80">
        <f>L10+L18+L19+L22+L23</f>
        <v>0.80739371306171437</v>
      </c>
      <c r="M9" s="80">
        <f>M10+M18+M19+M22+M23</f>
        <v>0.80696616102683782</v>
      </c>
      <c r="N9" s="80">
        <f>N10+N18+N19+N22+N23</f>
        <v>0.80739482589495004</v>
      </c>
      <c r="O9" s="80">
        <f t="shared" ref="O9:O34" si="0">C9+G9+K9</f>
        <v>1939.4211581172121</v>
      </c>
      <c r="P9" s="80">
        <f t="shared" ref="P9:P34" si="1">D9+H9+L9</f>
        <v>3139.1738308631893</v>
      </c>
      <c r="Q9" s="80">
        <f t="shared" ref="Q9:Q34" si="2">E9+I9+M9</f>
        <v>3139.1643121635871</v>
      </c>
      <c r="R9" s="80">
        <f t="shared" ref="R9:R34" si="3">F9+J9+N9</f>
        <v>2995.080446254568</v>
      </c>
    </row>
    <row r="10" spans="1:18" s="86" customFormat="1" ht="15.75" thickBot="1">
      <c r="A10" s="85" t="s">
        <v>87</v>
      </c>
      <c r="B10" s="83" t="s">
        <v>65</v>
      </c>
      <c r="C10" s="80">
        <f t="shared" ref="C10:N10" si="4">C11+C15+C16+C17</f>
        <v>1072.6306221017337</v>
      </c>
      <c r="D10" s="80">
        <f t="shared" si="4"/>
        <v>2109.6002795258305</v>
      </c>
      <c r="E10" s="80">
        <f t="shared" si="4"/>
        <v>2109.6018548387096</v>
      </c>
      <c r="F10" s="80">
        <f t="shared" si="4"/>
        <v>1985.0597110111864</v>
      </c>
      <c r="G10" s="80">
        <f t="shared" si="4"/>
        <v>65.374795014758931</v>
      </c>
      <c r="H10" s="80">
        <f t="shared" si="4"/>
        <v>65.374780473034349</v>
      </c>
      <c r="I10" s="80">
        <f t="shared" si="4"/>
        <v>65.374562427071183</v>
      </c>
      <c r="J10" s="80">
        <f t="shared" si="4"/>
        <v>65.374781851631539</v>
      </c>
      <c r="K10" s="80">
        <f t="shared" si="4"/>
        <v>0.78174483437192532</v>
      </c>
      <c r="L10" s="80">
        <f t="shared" si="4"/>
        <v>0.78174354315961836</v>
      </c>
      <c r="M10" s="80">
        <f t="shared" si="4"/>
        <v>0.78129521586931161</v>
      </c>
      <c r="N10" s="80">
        <f t="shared" si="4"/>
        <v>0.78174294144759915</v>
      </c>
      <c r="O10" s="80">
        <f t="shared" si="0"/>
        <v>1138.7871619508646</v>
      </c>
      <c r="P10" s="80">
        <f t="shared" si="1"/>
        <v>2175.7568035420245</v>
      </c>
      <c r="Q10" s="80">
        <f t="shared" si="2"/>
        <v>2175.7577124816503</v>
      </c>
      <c r="R10" s="80">
        <f t="shared" si="3"/>
        <v>2051.2162358042656</v>
      </c>
    </row>
    <row r="11" spans="1:18" s="86" customFormat="1" ht="15.75" thickBot="1">
      <c r="A11" s="85" t="s">
        <v>86</v>
      </c>
      <c r="B11" s="83" t="s">
        <v>65</v>
      </c>
      <c r="C11" s="80">
        <f>C12+C13+C14</f>
        <v>1031.1940928872084</v>
      </c>
      <c r="D11" s="80">
        <f>D12+D13+D14</f>
        <v>2068.1637601834236</v>
      </c>
      <c r="E11" s="80">
        <f>E12+E13+E14</f>
        <v>2068.1652822580645</v>
      </c>
      <c r="F11" s="80">
        <f>F12+F13+F14</f>
        <v>1943.6231903926298</v>
      </c>
      <c r="G11" s="80"/>
      <c r="H11" s="80"/>
      <c r="I11" s="80"/>
      <c r="J11" s="80"/>
      <c r="K11" s="80"/>
      <c r="L11" s="80"/>
      <c r="M11" s="80"/>
      <c r="N11" s="80"/>
      <c r="O11" s="80">
        <f t="shared" si="0"/>
        <v>1031.1940928872084</v>
      </c>
      <c r="P11" s="80">
        <f t="shared" si="1"/>
        <v>2068.1637601834236</v>
      </c>
      <c r="Q11" s="80">
        <f t="shared" si="2"/>
        <v>2068.1652822580645</v>
      </c>
      <c r="R11" s="80">
        <f t="shared" si="3"/>
        <v>1943.6231903926298</v>
      </c>
    </row>
    <row r="12" spans="1:18" s="66" customFormat="1" ht="15.75" thickBot="1">
      <c r="A12" s="85" t="s">
        <v>85</v>
      </c>
      <c r="B12" s="83" t="s">
        <v>65</v>
      </c>
      <c r="C12" s="80">
        <f>'[1] д.2'!F23/'[1] д.2'!F59</f>
        <v>857.76842405650279</v>
      </c>
      <c r="D12" s="80">
        <f>'[1] д.2'!G23/'[1] д.2'!G59</f>
        <v>1894.7380847846237</v>
      </c>
      <c r="E12" s="80">
        <f>'[1] д.2'!H23/'[1] д.2'!H59-0.12</f>
        <v>1894.7388709677421</v>
      </c>
      <c r="F12" s="80">
        <f>'[1] д.2'!E23/'[1] д.2'!E59</f>
        <v>1770.1975145316953</v>
      </c>
      <c r="G12" s="80"/>
      <c r="H12" s="80"/>
      <c r="I12" s="80"/>
      <c r="J12" s="80"/>
      <c r="K12" s="80"/>
      <c r="L12" s="80"/>
      <c r="M12" s="80"/>
      <c r="N12" s="80"/>
      <c r="O12" s="80">
        <f t="shared" si="0"/>
        <v>857.76842405650279</v>
      </c>
      <c r="P12" s="80">
        <f t="shared" si="1"/>
        <v>1894.7380847846237</v>
      </c>
      <c r="Q12" s="80">
        <f t="shared" si="2"/>
        <v>1894.7388709677421</v>
      </c>
      <c r="R12" s="80">
        <f t="shared" si="3"/>
        <v>1770.1975145316953</v>
      </c>
    </row>
    <row r="13" spans="1:18" s="86" customFormat="1" ht="21.75" thickBot="1">
      <c r="A13" s="85" t="s">
        <v>84</v>
      </c>
      <c r="B13" s="83" t="s">
        <v>65</v>
      </c>
      <c r="C13" s="80">
        <f>'[1] д.2'!F24/'[1] д.2'!F59</f>
        <v>18.946208175786545</v>
      </c>
      <c r="D13" s="80">
        <f>'[1] д.2'!G24/'[1] д.2'!G59</f>
        <v>18.94621201034197</v>
      </c>
      <c r="E13" s="80">
        <f>'[1] д.2'!H24/'[1] д.2'!H59</f>
        <v>18.94657258064516</v>
      </c>
      <c r="F13" s="80">
        <f>'[1] д.2'!E24/'[1] д.2'!E59</f>
        <v>18.946212162754989</v>
      </c>
      <c r="G13" s="80"/>
      <c r="H13" s="80"/>
      <c r="I13" s="80"/>
      <c r="J13" s="80"/>
      <c r="K13" s="80"/>
      <c r="L13" s="80"/>
      <c r="M13" s="80"/>
      <c r="N13" s="80"/>
      <c r="O13" s="80">
        <f t="shared" si="0"/>
        <v>18.946208175786545</v>
      </c>
      <c r="P13" s="80">
        <f t="shared" si="1"/>
        <v>18.94621201034197</v>
      </c>
      <c r="Q13" s="80">
        <f t="shared" si="2"/>
        <v>18.94657258064516</v>
      </c>
      <c r="R13" s="80">
        <f t="shared" si="3"/>
        <v>18.946212162754989</v>
      </c>
    </row>
    <row r="14" spans="1:18" s="86" customFormat="1" ht="16.5" customHeight="1" thickBot="1">
      <c r="A14" s="85" t="s">
        <v>83</v>
      </c>
      <c r="B14" s="83" t="s">
        <v>65</v>
      </c>
      <c r="C14" s="80">
        <f>'[1] д.2'!F25/'[1] д.2'!F59</f>
        <v>154.47946065491902</v>
      </c>
      <c r="D14" s="80">
        <f>'[1] д.2'!G25/'[1] д.2'!G59</f>
        <v>154.47946338845799</v>
      </c>
      <c r="E14" s="80">
        <f>'[1] д.2'!H25/'[1] д.2'!H59</f>
        <v>154.47983870967744</v>
      </c>
      <c r="F14" s="80">
        <f>'[1] д.2'!E25/'[1] д.2'!E59</f>
        <v>154.47946369817942</v>
      </c>
      <c r="G14" s="80"/>
      <c r="H14" s="80"/>
      <c r="I14" s="80"/>
      <c r="J14" s="80"/>
      <c r="K14" s="80"/>
      <c r="L14" s="80"/>
      <c r="M14" s="80"/>
      <c r="N14" s="80"/>
      <c r="O14" s="80">
        <f t="shared" si="0"/>
        <v>154.47946065491902</v>
      </c>
      <c r="P14" s="80">
        <f t="shared" si="1"/>
        <v>154.47946338845799</v>
      </c>
      <c r="Q14" s="80">
        <f t="shared" si="2"/>
        <v>154.47983870967744</v>
      </c>
      <c r="R14" s="80">
        <f t="shared" si="3"/>
        <v>154.47946369817942</v>
      </c>
    </row>
    <row r="15" spans="1:18" s="86" customFormat="1" ht="15.75" thickBot="1">
      <c r="A15" s="85" t="s">
        <v>82</v>
      </c>
      <c r="B15" s="83" t="s">
        <v>65</v>
      </c>
      <c r="C15" s="80">
        <f>'[1] д.2'!F26/'[1] д.2'!F59</f>
        <v>31.769237354640794</v>
      </c>
      <c r="D15" s="80">
        <f>'[1] д.2'!G26/'[1] д.2'!G59</f>
        <v>31.769233621152253</v>
      </c>
      <c r="E15" s="80">
        <f>'[1] д.2'!H26/'[1] д.2'!H59</f>
        <v>31.769153225806448</v>
      </c>
      <c r="F15" s="80">
        <f>'[1] д.2'!E26/'[1] д.2'!E59</f>
        <v>31.769233932880017</v>
      </c>
      <c r="G15" s="80">
        <f>'[1]д.3 '!F24/'[1]д.3 '!F63</f>
        <v>63.769252213840602</v>
      </c>
      <c r="H15" s="80">
        <f>'[1]д.3 '!G24/'[1]д.3 '!G63</f>
        <v>63.769249402819369</v>
      </c>
      <c r="I15" s="80">
        <f>'[1]д.3 '!H24/'[1]д.3 '!H63</f>
        <v>63.76896149358226</v>
      </c>
      <c r="J15" s="80">
        <f>'[1]д.3 '!E24/'[1]д.3 '!E63</f>
        <v>63.769249254454564</v>
      </c>
      <c r="K15" s="80">
        <f>'[1]д. 4 '!F22/'[1]д. 4 '!F48+0.01</f>
        <v>0.78174483437192532</v>
      </c>
      <c r="L15" s="80">
        <f>'[1]д. 4 '!G22/'[1]д. 4 '!G48+0.01</f>
        <v>0.78174354315961836</v>
      </c>
      <c r="M15" s="80">
        <f>'[1]д. 4 '!H22/'[1]д. 4 '!H48+0.01</f>
        <v>0.78129521586931161</v>
      </c>
      <c r="N15" s="80">
        <f>'[1]д. 4 '!E22/'[1]д. 4 '!E48+0.01</f>
        <v>0.78174294144759915</v>
      </c>
      <c r="O15" s="80">
        <f t="shared" si="0"/>
        <v>96.320234402853316</v>
      </c>
      <c r="P15" s="80">
        <f t="shared" si="1"/>
        <v>96.320226567131243</v>
      </c>
      <c r="Q15" s="80">
        <f t="shared" si="2"/>
        <v>96.319409935258022</v>
      </c>
      <c r="R15" s="80">
        <f t="shared" si="3"/>
        <v>96.320226128782181</v>
      </c>
    </row>
    <row r="16" spans="1:18" s="86" customFormat="1" ht="15.75" thickBot="1">
      <c r="A16" s="85" t="s">
        <v>81</v>
      </c>
      <c r="B16" s="83" t="s">
        <v>65</v>
      </c>
      <c r="C16" s="80">
        <f>'[1] д.2'!F32/'[1] д.2'!F59</f>
        <v>0</v>
      </c>
      <c r="D16" s="80">
        <f>'[1] д.2'!G32/'[1] д.2'!G59</f>
        <v>0</v>
      </c>
      <c r="E16" s="80">
        <f>'[1] д.2'!H32/'[1] д.2'!H59</f>
        <v>0</v>
      </c>
      <c r="F16" s="80">
        <f>'[1] д.2'!E32/'[1] д.2'!E59</f>
        <v>0</v>
      </c>
      <c r="G16" s="80">
        <f>'[1]д.3 '!F26/'[1]д.3 '!F63</f>
        <v>1.0410134470318138</v>
      </c>
      <c r="H16" s="80">
        <f>'[1]д.3 '!G26/'[1]д.3 '!G63</f>
        <v>1.0410052821047675</v>
      </c>
      <c r="I16" s="80">
        <f>'[1]д.3 '!H26/'[1]д.3 '!H63</f>
        <v>1.0408401400233371</v>
      </c>
      <c r="J16" s="80">
        <f>'[1]д.3 '!E26/'[1]д.3 '!E63</f>
        <v>1.0410059840608885</v>
      </c>
      <c r="K16" s="80"/>
      <c r="L16" s="80"/>
      <c r="M16" s="80"/>
      <c r="N16" s="80"/>
      <c r="O16" s="80">
        <f t="shared" si="0"/>
        <v>1.0410134470318138</v>
      </c>
      <c r="P16" s="80">
        <f t="shared" si="1"/>
        <v>1.0410052821047675</v>
      </c>
      <c r="Q16" s="80">
        <f t="shared" si="2"/>
        <v>1.0408401400233371</v>
      </c>
      <c r="R16" s="80">
        <f t="shared" si="3"/>
        <v>1.0410059840608885</v>
      </c>
    </row>
    <row r="17" spans="1:18" s="86" customFormat="1" ht="21.75" thickBot="1">
      <c r="A17" s="91" t="s">
        <v>80</v>
      </c>
      <c r="B17" s="83" t="s">
        <v>65</v>
      </c>
      <c r="C17" s="80">
        <f>'[1] д.2'!F33/'[1] д.2'!F59-0.01</f>
        <v>9.6672918598844255</v>
      </c>
      <c r="D17" s="80">
        <f>'[1] д.2'!G33/'[1] д.2'!G59-0.01</f>
        <v>9.6672857212546948</v>
      </c>
      <c r="E17" s="80">
        <f>'[1] д.2'!H33/'[1] д.2'!H59-0.01</f>
        <v>9.6674193548387102</v>
      </c>
      <c r="F17" s="80">
        <f>'[1] д.2'!E33/'[1] д.2'!E59-0.01</f>
        <v>9.6672866856766824</v>
      </c>
      <c r="G17" s="80">
        <f>'[1]д.3 '!F27/'[1]д.3 '!F63</f>
        <v>0.56452935388652026</v>
      </c>
      <c r="H17" s="80">
        <f>'[1]д.3 '!G27/'[1]д.3 '!G63</f>
        <v>0.5645257881102177</v>
      </c>
      <c r="I17" s="80">
        <f>'[1]д.3 '!H27/'[1]д.3 '!H63</f>
        <v>0.56476079346557762</v>
      </c>
      <c r="J17" s="80">
        <f>'[1]д.3 '!E27/'[1]д.3 '!E63</f>
        <v>0.56452661311608454</v>
      </c>
      <c r="K17" s="80"/>
      <c r="L17" s="80"/>
      <c r="M17" s="80"/>
      <c r="N17" s="80"/>
      <c r="O17" s="80">
        <f t="shared" si="0"/>
        <v>10.231821213770946</v>
      </c>
      <c r="P17" s="80">
        <f t="shared" si="1"/>
        <v>10.231811509364913</v>
      </c>
      <c r="Q17" s="80">
        <f t="shared" si="2"/>
        <v>10.232180148304288</v>
      </c>
      <c r="R17" s="80">
        <f t="shared" si="3"/>
        <v>10.231813298792767</v>
      </c>
    </row>
    <row r="18" spans="1:18" s="86" customFormat="1" ht="15.75" thickBot="1">
      <c r="A18" s="85" t="s">
        <v>79</v>
      </c>
      <c r="B18" s="83" t="s">
        <v>65</v>
      </c>
      <c r="C18" s="80">
        <f>'[1] д.2'!F34/'[1] д.2'!F59</f>
        <v>295.68230006420777</v>
      </c>
      <c r="D18" s="80">
        <f>'[1] д.2'!G34/'[1] д.2'!G59</f>
        <v>295.68230450265867</v>
      </c>
      <c r="E18" s="80">
        <f>'[1] д.2'!H34/'[1] д.2'!H59</f>
        <v>295.68245967741939</v>
      </c>
      <c r="F18" s="80">
        <f>'[1] д.2'!E34/'[1] д.2'!E59</f>
        <v>295.68230423338451</v>
      </c>
      <c r="G18" s="80">
        <f>'[1]д.3 '!F29/'[1]д.3 '!F63</f>
        <v>45.710511643161695</v>
      </c>
      <c r="H18" s="80">
        <f>'[1]д.3 '!G29/'[1]д.3 '!G63</f>
        <v>45.710504771837748</v>
      </c>
      <c r="I18" s="80">
        <f>'[1]д.3 '!H29/'[1]д.3 '!H63</f>
        <v>45.710618436406065</v>
      </c>
      <c r="J18" s="80">
        <f>'[1]д.3 '!E29/'[1]д.3 '!E63</f>
        <v>45.710505789056931</v>
      </c>
      <c r="K18" s="80"/>
      <c r="L18" s="80"/>
      <c r="M18" s="80"/>
      <c r="N18" s="80"/>
      <c r="O18" s="80">
        <f t="shared" si="0"/>
        <v>341.39281170736945</v>
      </c>
      <c r="P18" s="80">
        <f t="shared" si="1"/>
        <v>341.39280927449641</v>
      </c>
      <c r="Q18" s="80">
        <f t="shared" si="2"/>
        <v>341.39307811382548</v>
      </c>
      <c r="R18" s="80">
        <f t="shared" si="3"/>
        <v>341.39281002244144</v>
      </c>
    </row>
    <row r="19" spans="1:18" s="86" customFormat="1" ht="15.75" thickBot="1">
      <c r="A19" s="91" t="s">
        <v>78</v>
      </c>
      <c r="B19" s="83" t="s">
        <v>65</v>
      </c>
      <c r="C19" s="80">
        <f t="shared" ref="C19:N19" si="5">C20+C21</f>
        <v>87.687508025968469</v>
      </c>
      <c r="D19" s="80">
        <f t="shared" si="5"/>
        <v>87.687508658958976</v>
      </c>
      <c r="E19" s="80">
        <f t="shared" si="5"/>
        <v>87.686693548387083</v>
      </c>
      <c r="F19" s="80">
        <f t="shared" si="5"/>
        <v>87.687337203882436</v>
      </c>
      <c r="G19" s="80">
        <f t="shared" si="5"/>
        <v>11.091210232863235</v>
      </c>
      <c r="H19" s="80">
        <f t="shared" si="5"/>
        <v>11.091211071112157</v>
      </c>
      <c r="I19" s="80">
        <f t="shared" si="5"/>
        <v>11.081015169194867</v>
      </c>
      <c r="J19" s="80">
        <f t="shared" si="5"/>
        <v>11.091210639731171</v>
      </c>
      <c r="K19" s="80">
        <f t="shared" si="5"/>
        <v>0</v>
      </c>
      <c r="L19" s="80">
        <f t="shared" si="5"/>
        <v>0</v>
      </c>
      <c r="M19" s="80">
        <f t="shared" si="5"/>
        <v>0</v>
      </c>
      <c r="N19" s="80">
        <f t="shared" si="5"/>
        <v>0</v>
      </c>
      <c r="O19" s="80">
        <f t="shared" si="0"/>
        <v>98.778718258831702</v>
      </c>
      <c r="P19" s="80">
        <f t="shared" si="1"/>
        <v>98.778719730071131</v>
      </c>
      <c r="Q19" s="80">
        <f t="shared" si="2"/>
        <v>98.767708717581954</v>
      </c>
      <c r="R19" s="80">
        <f t="shared" si="3"/>
        <v>98.778547843613609</v>
      </c>
    </row>
    <row r="20" spans="1:18" s="66" customFormat="1" ht="11.25" customHeight="1" thickBot="1">
      <c r="A20" s="96" t="s">
        <v>50</v>
      </c>
      <c r="B20" s="83" t="s">
        <v>65</v>
      </c>
      <c r="C20" s="80">
        <f>'[1] д.2'!F36/'[1] д.2'!F59</f>
        <v>65.050110580009985</v>
      </c>
      <c r="D20" s="80">
        <f>'[1] д.2'!G36/'[1] д.2'!G59</f>
        <v>65.050107810137078</v>
      </c>
      <c r="E20" s="80">
        <f>'[1] д.2'!H36/'[1] д.2'!H59+0.1</f>
        <v>65.049596774193532</v>
      </c>
      <c r="F20" s="80">
        <f>'[1] д.2'!E36/'[1] д.2'!E59</f>
        <v>65.049937280653651</v>
      </c>
      <c r="G20" s="80">
        <f>'[1]д.3 '!F31/'[1]д.3 '!F63</f>
        <v>10.056313545424731</v>
      </c>
      <c r="H20" s="80">
        <f>'[1]д.3 '!G31/'[1]д.3 '!G63</f>
        <v>10.056311049804304</v>
      </c>
      <c r="I20" s="80">
        <f>'[1]д.3 '!H31/'[1]д.3 '!H63</f>
        <v>10.056009334889149</v>
      </c>
      <c r="J20" s="80">
        <f>'[1]д.3 '!E31/'[1]д.3 '!E63</f>
        <v>10.056310840250394</v>
      </c>
      <c r="K20" s="80"/>
      <c r="L20" s="80"/>
      <c r="M20" s="80"/>
      <c r="N20" s="80"/>
      <c r="O20" s="80">
        <f t="shared" si="0"/>
        <v>75.106424125434714</v>
      </c>
      <c r="P20" s="80">
        <f t="shared" si="1"/>
        <v>75.106418859941385</v>
      </c>
      <c r="Q20" s="80">
        <f t="shared" si="2"/>
        <v>75.105606109082686</v>
      </c>
      <c r="R20" s="80">
        <f t="shared" si="3"/>
        <v>75.106248120904041</v>
      </c>
    </row>
    <row r="21" spans="1:18" s="86" customFormat="1" ht="15.75" thickBot="1">
      <c r="A21" s="91" t="s">
        <v>77</v>
      </c>
      <c r="B21" s="83" t="s">
        <v>65</v>
      </c>
      <c r="C21" s="80">
        <f>'[1] д.2'!F37/'[1] д.2'!F59</f>
        <v>22.637397445958477</v>
      </c>
      <c r="D21" s="80">
        <f>'[1] д.2'!G37/'[1] д.2'!G59</f>
        <v>22.637400848821894</v>
      </c>
      <c r="E21" s="80">
        <f>'[1] д.2'!H37/'[1] д.2'!H59</f>
        <v>22.637096774193548</v>
      </c>
      <c r="F21" s="80">
        <f>'[1] д.2'!E37/'[1] д.2'!E59</f>
        <v>22.637399923228777</v>
      </c>
      <c r="G21" s="80">
        <f>'[1]д.3 '!F32/'[1]д.3 '!F63</f>
        <v>1.0348966874385046</v>
      </c>
      <c r="H21" s="80">
        <f>'[1]д.3 '!G32/'[1]д.3 '!G63</f>
        <v>1.0349000213078536</v>
      </c>
      <c r="I21" s="80">
        <f>'[1]д.3 '!H32/'[1]д.3 '!H63-0.01</f>
        <v>1.0250058343057176</v>
      </c>
      <c r="J21" s="80">
        <f>'[1]д.3 '!E32/'[1]д.3 '!E63</f>
        <v>1.0348997994807774</v>
      </c>
      <c r="K21" s="80"/>
      <c r="L21" s="80"/>
      <c r="M21" s="80"/>
      <c r="N21" s="80"/>
      <c r="O21" s="80">
        <f t="shared" si="0"/>
        <v>23.672294133396981</v>
      </c>
      <c r="P21" s="80">
        <f t="shared" si="1"/>
        <v>23.672300870129746</v>
      </c>
      <c r="Q21" s="80">
        <f t="shared" si="2"/>
        <v>23.662102608499264</v>
      </c>
      <c r="R21" s="80">
        <f t="shared" si="3"/>
        <v>23.672299722709553</v>
      </c>
    </row>
    <row r="22" spans="1:18" s="86" customFormat="1" ht="21.75" thickBot="1">
      <c r="A22" s="85" t="s">
        <v>76</v>
      </c>
      <c r="B22" s="83" t="s">
        <v>65</v>
      </c>
      <c r="C22" s="80"/>
      <c r="D22" s="80"/>
      <c r="E22" s="80"/>
      <c r="F22" s="80"/>
      <c r="G22" s="80">
        <f>'[1]д.3 '!F28/'[1]д.3 '!F63+0.01</f>
        <v>278.57849786815353</v>
      </c>
      <c r="H22" s="80">
        <f>'[1]д.3 '!G28/'[1]д.3 '!G63</f>
        <v>441.35154818378589</v>
      </c>
      <c r="I22" s="80">
        <f>'[1]д.3 '!H28/'[1]д.3 '!H63</f>
        <v>441.35239206534419</v>
      </c>
      <c r="J22" s="80">
        <f>'[1]д.3 '!E28/'[1]д.3 '!E63</f>
        <v>421.79893516019871</v>
      </c>
      <c r="K22" s="80"/>
      <c r="L22" s="80"/>
      <c r="M22" s="80"/>
      <c r="N22" s="80"/>
      <c r="O22" s="80">
        <f t="shared" si="0"/>
        <v>278.57849786815353</v>
      </c>
      <c r="P22" s="80">
        <f t="shared" si="1"/>
        <v>441.35154818378589</v>
      </c>
      <c r="Q22" s="80">
        <f t="shared" si="2"/>
        <v>441.35239206534419</v>
      </c>
      <c r="R22" s="80">
        <f t="shared" si="3"/>
        <v>421.79893516019871</v>
      </c>
    </row>
    <row r="23" spans="1:18" s="86" customFormat="1" ht="14.25" customHeight="1" thickBot="1">
      <c r="A23" s="95" t="s">
        <v>75</v>
      </c>
      <c r="B23" s="83" t="s">
        <v>65</v>
      </c>
      <c r="C23" s="80">
        <f t="shared" ref="C23:N23" si="6">C24+C25+C26</f>
        <v>77.842790896768207</v>
      </c>
      <c r="D23" s="80">
        <f t="shared" si="6"/>
        <v>77.842792331333243</v>
      </c>
      <c r="E23" s="80">
        <f t="shared" si="6"/>
        <v>77.842580645161291</v>
      </c>
      <c r="F23" s="80">
        <f t="shared" si="6"/>
        <v>77.842757800504486</v>
      </c>
      <c r="G23" s="80">
        <f t="shared" si="6"/>
        <v>4.0155132830436209</v>
      </c>
      <c r="H23" s="80">
        <f t="shared" si="6"/>
        <v>4.0155076315759963</v>
      </c>
      <c r="I23" s="80">
        <f t="shared" si="6"/>
        <v>4.0151691948658108</v>
      </c>
      <c r="J23" s="80">
        <f t="shared" si="6"/>
        <v>4.0155077390965213</v>
      </c>
      <c r="K23" s="80">
        <f t="shared" si="6"/>
        <v>2.5664152181042968E-2</v>
      </c>
      <c r="L23" s="80">
        <f t="shared" si="6"/>
        <v>2.5650169902096023E-2</v>
      </c>
      <c r="M23" s="80">
        <f t="shared" si="6"/>
        <v>2.567094515752625E-2</v>
      </c>
      <c r="N23" s="80">
        <f t="shared" si="6"/>
        <v>2.5651884447350903E-2</v>
      </c>
      <c r="O23" s="80">
        <f t="shared" si="0"/>
        <v>81.883968331992861</v>
      </c>
      <c r="P23" s="80">
        <f t="shared" si="1"/>
        <v>81.883950132811336</v>
      </c>
      <c r="Q23" s="80">
        <f t="shared" si="2"/>
        <v>81.883420785184626</v>
      </c>
      <c r="R23" s="80">
        <f t="shared" si="3"/>
        <v>81.883917424048363</v>
      </c>
    </row>
    <row r="24" spans="1:18" s="86" customFormat="1" ht="15.75" thickBot="1">
      <c r="A24" s="94" t="s">
        <v>72</v>
      </c>
      <c r="B24" s="83" t="s">
        <v>65</v>
      </c>
      <c r="C24" s="80">
        <f>'[1] д.2'!F40/'[1] д.2'!F59</f>
        <v>30.548947706356564</v>
      </c>
      <c r="D24" s="80">
        <f>'[1] д.2'!G40/'[1] д.2'!G59</f>
        <v>30.548947753548955</v>
      </c>
      <c r="E24" s="80">
        <f>'[1] д.2'!H40/'[1] д.2'!H59</f>
        <v>30.549395161290324</v>
      </c>
      <c r="F24" s="80">
        <f>'[1] д.2'!E40/'[1] д.2'!E59</f>
        <v>30.54894850844483</v>
      </c>
      <c r="G24" s="80">
        <f>'[1]д.3 '!F35/'[1]д.3 '!F63</f>
        <v>1.5757953427353231</v>
      </c>
      <c r="H24" s="80">
        <f>'[1]д.3 '!G35/'[1]д.3 '!G63</f>
        <v>1.5757897924166471</v>
      </c>
      <c r="I24" s="80">
        <f>'[1]д.3 '!H35/'[1]д.3 '!H63</f>
        <v>1.5752625437572929</v>
      </c>
      <c r="J24" s="80">
        <f>'[1]д.3 '!E35/'[1]д.3 '!E63</f>
        <v>1.5757895690609476</v>
      </c>
      <c r="K24" s="80">
        <f>'[1]д. 4 '!F29/'[1]д. 4 '!F48</f>
        <v>1.0052476221712037E-2</v>
      </c>
      <c r="L24" s="80">
        <f>'[1]д. 4 '!G29/'[1]д. 4 '!G48</f>
        <v>1.0046092251791542E-2</v>
      </c>
      <c r="M24" s="80">
        <f>'[1]д. 4 '!H29/'[1]д. 4 '!H48</f>
        <v>1.0501750291715285E-2</v>
      </c>
      <c r="N24" s="80">
        <f>'[1]д. 4 '!E29/'[1]д. 4 '!E48</f>
        <v>1.0047628239724868E-2</v>
      </c>
      <c r="O24" s="80">
        <f t="shared" si="0"/>
        <v>32.134795525313599</v>
      </c>
      <c r="P24" s="80">
        <f t="shared" si="1"/>
        <v>32.134783638217392</v>
      </c>
      <c r="Q24" s="80">
        <f t="shared" si="2"/>
        <v>32.135159455339334</v>
      </c>
      <c r="R24" s="80">
        <f t="shared" si="3"/>
        <v>32.1347857057455</v>
      </c>
    </row>
    <row r="25" spans="1:18" s="86" customFormat="1" ht="12" customHeight="1" thickBot="1">
      <c r="A25" s="93" t="s">
        <v>50</v>
      </c>
      <c r="B25" s="83" t="s">
        <v>65</v>
      </c>
      <c r="C25" s="80">
        <f>'[1] д.2'!F41/'[1] д.2'!F59</f>
        <v>6.7207676392951416</v>
      </c>
      <c r="D25" s="80">
        <f>'[1] д.2'!G41/'[1] д.2'!G59</f>
        <v>6.7207688179911216</v>
      </c>
      <c r="E25" s="80">
        <f>'[1] д.2'!H41/'[1] д.2'!H59</f>
        <v>6.720766129032258</v>
      </c>
      <c r="F25" s="80">
        <f>'[1] д.2'!E41/'[1] д.2'!E59</f>
        <v>6.7207686718578632</v>
      </c>
      <c r="G25" s="80">
        <f>'[1]д.3 '!F36/'[1]д.3 '!F63</f>
        <v>0.34667103968514268</v>
      </c>
      <c r="H25" s="80">
        <f>'[1]д.3 '!G36/'[1]д.3 '!G63</f>
        <v>0.34667429263533295</v>
      </c>
      <c r="I25" s="80">
        <f>'[1]д.3 '!H36/'[1]д.3 '!H63</f>
        <v>0.34655775962660446</v>
      </c>
      <c r="J25" s="80">
        <f>'[1]д.3 '!E36/'[1]д.3 '!E63</f>
        <v>0.34667370519340851</v>
      </c>
      <c r="K25" s="80">
        <f>'[1]д. 4 '!F30/'[1]д. 4 '!F48</f>
        <v>2.2138406034765499E-3</v>
      </c>
      <c r="L25" s="80">
        <f>'[1]д. 4 '!G30/'[1]д. 4 '!G48</f>
        <v>2.2092879812490888E-3</v>
      </c>
      <c r="M25" s="80">
        <f>'[1]д. 4 '!H30/'[1]д. 4 '!H48</f>
        <v>2.3337222870478411E-3</v>
      </c>
      <c r="N25" s="80">
        <f>'[1]д. 4 '!E30/'[1]д. 4 '!E48</f>
        <v>2.2100448706079794E-3</v>
      </c>
      <c r="O25" s="80">
        <f t="shared" si="0"/>
        <v>7.0696525195837614</v>
      </c>
      <c r="P25" s="80">
        <f t="shared" si="1"/>
        <v>7.0696523986077038</v>
      </c>
      <c r="Q25" s="80">
        <f t="shared" si="2"/>
        <v>7.0696576109459102</v>
      </c>
      <c r="R25" s="80">
        <f t="shared" si="3"/>
        <v>7.0696524219218801</v>
      </c>
    </row>
    <row r="26" spans="1:18" s="86" customFormat="1" ht="15.75" thickBot="1">
      <c r="A26" s="92" t="s">
        <v>74</v>
      </c>
      <c r="B26" s="83" t="s">
        <v>65</v>
      </c>
      <c r="C26" s="80">
        <f>'[1] д.2'!F42/'[1] д.2'!F59</f>
        <v>40.573075551116496</v>
      </c>
      <c r="D26" s="80">
        <f>'[1] д.2'!G42/'[1] д.2'!G59</f>
        <v>40.573075759793163</v>
      </c>
      <c r="E26" s="80">
        <f>'[1] д.2'!H42/'[1] д.2'!H59+0.02</f>
        <v>40.572419354838708</v>
      </c>
      <c r="F26" s="80">
        <f>'[1] д.2'!E42/'[1] д.2'!E59</f>
        <v>40.573040620201795</v>
      </c>
      <c r="G26" s="80">
        <f>'[1]д.3 '!F37/'[1]д.3 '!F63</f>
        <v>2.0930469006231553</v>
      </c>
      <c r="H26" s="80">
        <f>'[1]д.3 '!G37/'[1]д.3 '!G63</f>
        <v>2.093043546524016</v>
      </c>
      <c r="I26" s="80">
        <f>'[1]д.3 '!H37/'[1]д.3 '!H63</f>
        <v>2.0933488914819138</v>
      </c>
      <c r="J26" s="80">
        <f>'[1]д.3 '!E37/'[1]д.3 '!E63</f>
        <v>2.0930444648421651</v>
      </c>
      <c r="K26" s="80">
        <f>'[1]д. 4 '!F31/'[1]д. 4 '!F48</f>
        <v>1.3397835355854379E-2</v>
      </c>
      <c r="L26" s="80">
        <f>'[1]д. 4 '!G31/'[1]д. 4 '!G48</f>
        <v>1.339478966905539E-2</v>
      </c>
      <c r="M26" s="80">
        <f>'[1]д. 4 '!H31/'[1]д. 4 '!H48</f>
        <v>1.2835472578763127E-2</v>
      </c>
      <c r="N26" s="80">
        <f>'[1]д. 4 '!E31/'[1]д. 4 '!E48</f>
        <v>1.3394211337018055E-2</v>
      </c>
      <c r="O26" s="80">
        <f t="shared" si="0"/>
        <v>42.679520287095507</v>
      </c>
      <c r="P26" s="80">
        <f t="shared" si="1"/>
        <v>42.679514095986235</v>
      </c>
      <c r="Q26" s="80">
        <f t="shared" si="2"/>
        <v>42.678603718899389</v>
      </c>
      <c r="R26" s="80">
        <f t="shared" si="3"/>
        <v>42.679479296380975</v>
      </c>
    </row>
    <row r="27" spans="1:18" s="86" customFormat="1" ht="15.75" thickBot="1">
      <c r="A27" s="85" t="s">
        <v>73</v>
      </c>
      <c r="B27" s="83" t="s">
        <v>65</v>
      </c>
      <c r="C27" s="80">
        <f t="shared" ref="C27:N27" si="7">C28+C29+C30</f>
        <v>245.06022686737532</v>
      </c>
      <c r="D27" s="80">
        <f t="shared" si="7"/>
        <v>245.06023318210646</v>
      </c>
      <c r="E27" s="80">
        <f t="shared" si="7"/>
        <v>245.05947580645164</v>
      </c>
      <c r="F27" s="80">
        <f t="shared" si="7"/>
        <v>245.06023113621404</v>
      </c>
      <c r="G27" s="80">
        <f t="shared" si="7"/>
        <v>12.641505411610366</v>
      </c>
      <c r="H27" s="80">
        <f t="shared" si="7"/>
        <v>12.641521156455719</v>
      </c>
      <c r="I27" s="80">
        <f t="shared" si="7"/>
        <v>12.641773628938155</v>
      </c>
      <c r="J27" s="80">
        <f t="shared" si="7"/>
        <v>12.641519691460402</v>
      </c>
      <c r="K27" s="80">
        <f t="shared" si="7"/>
        <v>8.0173827484421117E-2</v>
      </c>
      <c r="L27" s="80">
        <f t="shared" si="7"/>
        <v>8.0189303457479627E-2</v>
      </c>
      <c r="M27" s="80">
        <f t="shared" si="7"/>
        <v>7.9346557759626596E-2</v>
      </c>
      <c r="N27" s="80">
        <f t="shared" si="7"/>
        <v>8.0186021958627646E-2</v>
      </c>
      <c r="O27" s="80">
        <f t="shared" si="0"/>
        <v>257.7819061064701</v>
      </c>
      <c r="P27" s="80">
        <f t="shared" si="1"/>
        <v>257.78194364201966</v>
      </c>
      <c r="Q27" s="80">
        <f t="shared" si="2"/>
        <v>257.7805959931494</v>
      </c>
      <c r="R27" s="80">
        <f t="shared" si="3"/>
        <v>257.7819368496331</v>
      </c>
    </row>
    <row r="28" spans="1:18" s="86" customFormat="1" ht="15.75" thickBot="1">
      <c r="A28" s="85" t="s">
        <v>72</v>
      </c>
      <c r="B28" s="83" t="s">
        <v>65</v>
      </c>
      <c r="C28" s="80">
        <f>'[1] д.2'!F44/'[1] д.2'!F59</f>
        <v>184.14724976813869</v>
      </c>
      <c r="D28" s="80">
        <f>'[1] д.2'!G44/'[1] д.2'!G59</f>
        <v>184.14725596370556</v>
      </c>
      <c r="E28" s="80">
        <f>'[1] д.2'!H44/'[1] д.2'!H59</f>
        <v>184.14717741935485</v>
      </c>
      <c r="F28" s="80">
        <f>'[1] д.2'!E44/'[1] д.2'!E59</f>
        <v>184.14725508609342</v>
      </c>
      <c r="G28" s="80">
        <f>'[1]д.3 '!F39/'[1]д.3 '!F63</f>
        <v>9.4992456543128903</v>
      </c>
      <c r="H28" s="80">
        <f>'[1]д.3 '!G39/'[1]д.3 '!G63</f>
        <v>9.4992542251230798</v>
      </c>
      <c r="I28" s="80">
        <f>'[1]д.3 '!H39/'[1]д.3 '!H63</f>
        <v>9.499416569428238</v>
      </c>
      <c r="J28" s="80">
        <f>'[1]д.3 '!E39/'[1]д.3 '!E63</f>
        <v>9.4992534696916575</v>
      </c>
      <c r="K28" s="80">
        <f>'[1]д. 4 '!F33/'[1]д. 4 '!F48</f>
        <v>6.0068875040997054E-2</v>
      </c>
      <c r="L28" s="80">
        <f>'[1]д. 4 '!G33/'[1]д. 4 '!G48</f>
        <v>6.0076932566250608E-2</v>
      </c>
      <c r="M28" s="80">
        <f>'[1]д. 4 '!H33/'[1]д. 4 '!H48</f>
        <v>5.9509918319719954E-2</v>
      </c>
      <c r="N28" s="80">
        <f>'[1]д. 4 '!E33/'[1]д. 4 '!E48</f>
        <v>6.0075007583487307E-2</v>
      </c>
      <c r="O28" s="80">
        <f t="shared" si="0"/>
        <v>193.70656429749258</v>
      </c>
      <c r="P28" s="80">
        <f t="shared" si="1"/>
        <v>193.7065871213949</v>
      </c>
      <c r="Q28" s="80">
        <f t="shared" si="2"/>
        <v>193.7061039071028</v>
      </c>
      <c r="R28" s="80">
        <f t="shared" si="3"/>
        <v>193.70658356336858</v>
      </c>
    </row>
    <row r="29" spans="1:18" s="86" customFormat="1" ht="12.75" customHeight="1" thickBot="1">
      <c r="A29" s="91" t="s">
        <v>50</v>
      </c>
      <c r="B29" s="83" t="s">
        <v>65</v>
      </c>
      <c r="C29" s="80">
        <f>'[1] д.2'!F45/'[1] д.2'!F59</f>
        <v>40.512392095312833</v>
      </c>
      <c r="D29" s="80">
        <f>'[1] д.2'!G45/'[1] д.2'!G59</f>
        <v>40.512395726620809</v>
      </c>
      <c r="E29" s="80">
        <f>'[1] д.2'!H45/'[1] д.2'!H59</f>
        <v>40.512096774193552</v>
      </c>
      <c r="F29" s="80">
        <f>'[1] д.2'!E45/'[1] д.2'!E59</f>
        <v>40.512394782298749</v>
      </c>
      <c r="G29" s="80">
        <f>'[1]д.3 '!F40/'[1]д.3 '!F63</f>
        <v>2.089832732043293</v>
      </c>
      <c r="H29" s="80">
        <f>'[1]д.3 '!G40/'[1]д.3 '!G63</f>
        <v>2.0898361538202739</v>
      </c>
      <c r="I29" s="80">
        <f>'[1]д.3 '!H40/'[1]д.3 '!H63</f>
        <v>2.0898483080513417</v>
      </c>
      <c r="J29" s="80">
        <f>'[1]д.3 '!E40/'[1]д.3 '!E63</f>
        <v>2.0898357633321645</v>
      </c>
      <c r="K29" s="80">
        <f>'[1]д. 4 '!F34/'[1]д. 4 '!F48</f>
        <v>1.3217448343719254E-2</v>
      </c>
      <c r="L29" s="80">
        <f>'[1]д. 4 '!G34/'[1]д. 4 '!G48</f>
        <v>1.3217598044163332E-2</v>
      </c>
      <c r="M29" s="80">
        <f>'[1]д. 4 '!H34/'[1]д. 4 '!H48</f>
        <v>1.2835472578763127E-2</v>
      </c>
      <c r="N29" s="80">
        <f>'[1]д. 4 '!E34/'[1]д. 4 '!E48</f>
        <v>1.3216935010498698E-2</v>
      </c>
      <c r="O29" s="80">
        <f t="shared" si="0"/>
        <v>42.615442275699841</v>
      </c>
      <c r="P29" s="80">
        <f t="shared" si="1"/>
        <v>42.615449478485246</v>
      </c>
      <c r="Q29" s="80">
        <f t="shared" si="2"/>
        <v>42.61478055482366</v>
      </c>
      <c r="R29" s="80">
        <f t="shared" si="3"/>
        <v>42.615447480641414</v>
      </c>
    </row>
    <row r="30" spans="1:18" s="86" customFormat="1" ht="15.75" thickBot="1">
      <c r="A30" s="91" t="s">
        <v>71</v>
      </c>
      <c r="B30" s="83" t="s">
        <v>65</v>
      </c>
      <c r="C30" s="80">
        <f>'[1] д.2'!F46/'[1] д.2'!F59</f>
        <v>20.400585003923805</v>
      </c>
      <c r="D30" s="80">
        <f>'[1] д.2'!G46/'[1] д.2'!G59</f>
        <v>20.400581491780088</v>
      </c>
      <c r="E30" s="80">
        <f>'[1] д.2'!H46/'[1] д.2'!H59</f>
        <v>20.400201612903228</v>
      </c>
      <c r="F30" s="80">
        <f>'[1] д.2'!E46/'[1] д.2'!E59</f>
        <v>20.400581267821888</v>
      </c>
      <c r="G30" s="80">
        <f>'[1]д.3 '!F41/'[1]д.3 '!F63</f>
        <v>1.0524270252541819</v>
      </c>
      <c r="H30" s="80">
        <f>'[1]д.3 '!G41/'[1]д.3 '!G63</f>
        <v>1.0524307775123642</v>
      </c>
      <c r="I30" s="80">
        <f>'[1]д.3 '!H41/'[1]д.3 '!H63</f>
        <v>1.0525087514585763</v>
      </c>
      <c r="J30" s="80">
        <f>'[1]д.3 '!E41/'[1]д.3 '!E63</f>
        <v>1.0524304584365805</v>
      </c>
      <c r="K30" s="80">
        <f>'[1]д. 4 '!F35/'[1]д. 4 '!F48</f>
        <v>6.8875040997048217E-3</v>
      </c>
      <c r="L30" s="80">
        <f>'[1]д. 4 '!G35/'[1]д. 4 '!G48</f>
        <v>6.8947728470656845E-3</v>
      </c>
      <c r="M30" s="80">
        <f>'[1]д. 4 '!H35/'[1]д. 4 '!H48</f>
        <v>7.0011668611435233E-3</v>
      </c>
      <c r="N30" s="80">
        <f>'[1]д. 4 '!E35/'[1]д. 4 '!E48</f>
        <v>6.8940793646416459E-3</v>
      </c>
      <c r="O30" s="80">
        <f t="shared" si="0"/>
        <v>21.459899533277692</v>
      </c>
      <c r="P30" s="80">
        <f t="shared" si="1"/>
        <v>21.459907042139516</v>
      </c>
      <c r="Q30" s="80">
        <f t="shared" si="2"/>
        <v>21.459711531222947</v>
      </c>
      <c r="R30" s="80">
        <f t="shared" si="3"/>
        <v>21.459905805623109</v>
      </c>
    </row>
    <row r="31" spans="1:18" s="86" customFormat="1" ht="21.75" thickBot="1">
      <c r="A31" s="85" t="s">
        <v>48</v>
      </c>
      <c r="B31" s="83" t="s">
        <v>65</v>
      </c>
      <c r="C31" s="80">
        <f t="shared" ref="C31:N31" si="8">C9+C27</f>
        <v>1778.9034479560537</v>
      </c>
      <c r="D31" s="80">
        <f t="shared" si="8"/>
        <v>2815.8731182008878</v>
      </c>
      <c r="E31" s="80">
        <f t="shared" si="8"/>
        <v>2815.8730645161295</v>
      </c>
      <c r="F31" s="80">
        <f t="shared" si="8"/>
        <v>2691.3323413851722</v>
      </c>
      <c r="G31" s="80">
        <f t="shared" si="8"/>
        <v>417.41203345359133</v>
      </c>
      <c r="H31" s="80">
        <f t="shared" si="8"/>
        <v>580.19507328780196</v>
      </c>
      <c r="I31" s="80">
        <f t="shared" si="8"/>
        <v>580.18553092182026</v>
      </c>
      <c r="J31" s="80">
        <f t="shared" si="8"/>
        <v>560.64246087117533</v>
      </c>
      <c r="K31" s="80">
        <f t="shared" si="8"/>
        <v>0.88758281403738948</v>
      </c>
      <c r="L31" s="80">
        <f t="shared" si="8"/>
        <v>0.88758301651919402</v>
      </c>
      <c r="M31" s="80">
        <f t="shared" si="8"/>
        <v>0.88631271878646445</v>
      </c>
      <c r="N31" s="80">
        <f t="shared" si="8"/>
        <v>0.88758084785357771</v>
      </c>
      <c r="O31" s="80">
        <f t="shared" si="0"/>
        <v>2197.2030642236828</v>
      </c>
      <c r="P31" s="80">
        <f t="shared" si="1"/>
        <v>3396.9557745052093</v>
      </c>
      <c r="Q31" s="80">
        <f t="shared" si="2"/>
        <v>3396.9449081567363</v>
      </c>
      <c r="R31" s="80">
        <f t="shared" si="3"/>
        <v>3252.8623831042014</v>
      </c>
    </row>
    <row r="32" spans="1:18" s="86" customFormat="1" ht="13.5" customHeight="1" thickBot="1">
      <c r="A32" s="85" t="s">
        <v>70</v>
      </c>
      <c r="B32" s="83" t="s">
        <v>65</v>
      </c>
      <c r="C32" s="80">
        <f>C33+C34+C36</f>
        <v>86.776257401726468</v>
      </c>
      <c r="D32" s="80">
        <f>D33+D34+D36</f>
        <v>137.36015220254649</v>
      </c>
      <c r="E32" s="80">
        <f>E33+E34+E36</f>
        <v>137.35987903225805</v>
      </c>
      <c r="F32" s="80">
        <f>F33+F34+F36+0.01</f>
        <v>131.2949908834174</v>
      </c>
      <c r="G32" s="80">
        <f t="shared" ref="G32:N32" si="9">G33+G34+G36</f>
        <v>47.165136110200066</v>
      </c>
      <c r="H32" s="80">
        <f t="shared" si="9"/>
        <v>47.16513810853548</v>
      </c>
      <c r="I32" s="80">
        <f t="shared" si="9"/>
        <v>47.1656942823804</v>
      </c>
      <c r="J32" s="80">
        <f t="shared" si="9"/>
        <v>47.165138807363668</v>
      </c>
      <c r="K32" s="80">
        <f t="shared" si="9"/>
        <v>3.2817317153164972E-2</v>
      </c>
      <c r="L32" s="80">
        <f t="shared" si="9"/>
        <v>3.2808599401137166E-2</v>
      </c>
      <c r="M32" s="80">
        <f t="shared" si="9"/>
        <v>3.3173862310385063E-2</v>
      </c>
      <c r="N32" s="80">
        <f t="shared" si="9"/>
        <v>3.2810263117463295E-2</v>
      </c>
      <c r="O32" s="80">
        <f t="shared" si="0"/>
        <v>133.97421082907971</v>
      </c>
      <c r="P32" s="80">
        <f t="shared" si="1"/>
        <v>184.5580989104831</v>
      </c>
      <c r="Q32" s="80">
        <f t="shared" si="2"/>
        <v>184.55874717694883</v>
      </c>
      <c r="R32" s="80">
        <f t="shared" si="3"/>
        <v>178.49293995389851</v>
      </c>
    </row>
    <row r="33" spans="1:18" s="86" customFormat="1" ht="15.75" thickBot="1">
      <c r="A33" s="85" t="s">
        <v>69</v>
      </c>
      <c r="B33" s="83" t="s">
        <v>65</v>
      </c>
      <c r="C33" s="80">
        <f>'[1] д.2'!F52/'[1] д.2'!F59</f>
        <v>15.619718912748805</v>
      </c>
      <c r="D33" s="80">
        <f>'[1] д.2'!G52/'[1] д.2'!G59</f>
        <v>24.724827552563539</v>
      </c>
      <c r="E33" s="80">
        <f>'[1] д.2'!H52/'[1] д.2'!H59</f>
        <v>24.724798387096776</v>
      </c>
      <c r="F33" s="80">
        <f>'[1] д.2'!E52/'[1] д.2'!E59</f>
        <v>23.631297639284931</v>
      </c>
      <c r="G33" s="80">
        <f>'[1]д.3 '!F47/'[1]д.3 '!F63</f>
        <v>8.4897179403082976</v>
      </c>
      <c r="H33" s="80">
        <f>'[1]д.3 '!G47/'[1]д.3 '!G63</f>
        <v>8.4897262501542006</v>
      </c>
      <c r="I33" s="80">
        <f>'[1]д.3 '!H47/'[1]д.3 '!H63</f>
        <v>8.4900816802800474</v>
      </c>
      <c r="J33" s="80">
        <f>'[1]д.3 '!E47/'[1]д.3 '!E63</f>
        <v>8.4897258520097232</v>
      </c>
      <c r="K33" s="80">
        <f>'[1]д. 4 '!F41/'[1]д. 4 '!F48-0.01</f>
        <v>-2.2925549360446043E-3</v>
      </c>
      <c r="L33" s="80">
        <f>'[1]д. 4 '!G41/'[1]д. 4 '!G48-0.01</f>
        <v>-2.2955287151364256E-3</v>
      </c>
      <c r="M33" s="80">
        <f>'[1]д. 4 '!H41/'[1]д. 4 '!H48-0.01</f>
        <v>-1.8319719953325559E-3</v>
      </c>
      <c r="N33" s="80">
        <f>'[1]д. 4 '!E41/'[1]д. 4 '!E48-0.01</f>
        <v>-2.2943890072919665E-3</v>
      </c>
      <c r="O33" s="80">
        <f t="shared" si="0"/>
        <v>24.10714429812106</v>
      </c>
      <c r="P33" s="80">
        <f t="shared" si="1"/>
        <v>33.2122582740026</v>
      </c>
      <c r="Q33" s="80">
        <f t="shared" si="2"/>
        <v>33.213048095381495</v>
      </c>
      <c r="R33" s="80">
        <f t="shared" si="3"/>
        <v>32.118729102287361</v>
      </c>
    </row>
    <row r="34" spans="1:18" s="86" customFormat="1" ht="15.75" thickBot="1">
      <c r="A34" s="91" t="s">
        <v>68</v>
      </c>
      <c r="B34" s="83" t="s">
        <v>65</v>
      </c>
      <c r="C34" s="80">
        <f>'[1] д.2'!F55/'[1] д.2'!F59</f>
        <v>0</v>
      </c>
      <c r="D34" s="80">
        <f>'[1] д.2'!G55/'[1] д.2'!G59</f>
        <v>0</v>
      </c>
      <c r="E34" s="80">
        <f>'[1] д.2'!H55/'[1] д.2'!H59</f>
        <v>0</v>
      </c>
      <c r="F34" s="80">
        <f>'[1] д.2'!E55/'[1] д.2'!E59</f>
        <v>0</v>
      </c>
      <c r="G34" s="80">
        <f>'[1]д.3 '!F50/'[1]д.3 '!F63</f>
        <v>33.122072810757629</v>
      </c>
      <c r="H34" s="80">
        <f>'[1]д.3 '!G50/'[1]д.3 '!G63</f>
        <v>33.12207157195887</v>
      </c>
      <c r="I34" s="80">
        <f>'[1]д.3 '!H50/'[1]д.3 '!H63</f>
        <v>33.122520420070011</v>
      </c>
      <c r="J34" s="80">
        <f>'[1]д.3 '!E50/'[1]д.3 '!E63</f>
        <v>33.122072478441225</v>
      </c>
      <c r="K34" s="80">
        <f>'[1]д. 4 '!F44/'[1]д. 4 '!F48</f>
        <v>0</v>
      </c>
      <c r="L34" s="80">
        <f>'[1]д. 4 '!G44/'[1]д. 4 '!G45</f>
        <v>0</v>
      </c>
      <c r="M34" s="80">
        <f>'[1]д. 4 '!H44/'[1]д. 4 '!H45</f>
        <v>0</v>
      </c>
      <c r="N34" s="80">
        <f>'[1]д. 4 '!E44/'[1]д. 4 '!E45</f>
        <v>0</v>
      </c>
      <c r="O34" s="80">
        <f t="shared" si="0"/>
        <v>33.122072810757629</v>
      </c>
      <c r="P34" s="80">
        <f t="shared" si="1"/>
        <v>33.12207157195887</v>
      </c>
      <c r="Q34" s="80">
        <f t="shared" si="2"/>
        <v>33.122520420070011</v>
      </c>
      <c r="R34" s="80">
        <f t="shared" si="3"/>
        <v>33.122072478441225</v>
      </c>
    </row>
    <row r="35" spans="1:18" s="86" customFormat="1" ht="15.75" hidden="1" thickBot="1">
      <c r="A35" s="91" t="s">
        <v>67</v>
      </c>
      <c r="B35" s="83" t="s">
        <v>65</v>
      </c>
      <c r="C35" s="80"/>
      <c r="D35" s="80"/>
      <c r="E35" s="80"/>
      <c r="F35" s="80"/>
      <c r="G35" s="80" t="e">
        <f>'[1]д.3 '!F51/'[1]д.3 '!F64</f>
        <v>#DIV/0!</v>
      </c>
      <c r="H35" s="80" t="e">
        <f>'[1]д.3 '!G51/'[1]д.3 '!G64</f>
        <v>#DIV/0!</v>
      </c>
      <c r="I35" s="80" t="e">
        <f>'[1]д.3 '!H51/'[1]д.3 '!H64</f>
        <v>#DIV/0!</v>
      </c>
      <c r="J35" s="80" t="e">
        <f>'[1]д.3 '!E51/'[1]д.3 '!E64</f>
        <v>#DIV/0!</v>
      </c>
      <c r="K35" s="80" t="e">
        <f>'[1]д. 4 '!F45/'[1]д. 4 '!F49</f>
        <v>#DIV/0!</v>
      </c>
      <c r="L35" s="80">
        <f>'[1]д. 4 '!G45/'[1]д. 4 '!G46</f>
        <v>3.8140425780793068E-2</v>
      </c>
      <c r="M35" s="80">
        <f>'[1]д. 4 '!H45/'[1]д. 4 '!H46</f>
        <v>3.8071065989847712E-2</v>
      </c>
      <c r="N35" s="80">
        <f>'[1]д. 4 '!E45/'[1]д. 4 '!E46</f>
        <v>3.8141016037974089E-2</v>
      </c>
      <c r="O35" s="80"/>
      <c r="P35" s="80"/>
      <c r="Q35" s="80"/>
      <c r="R35" s="80"/>
    </row>
    <row r="36" spans="1:18" s="86" customFormat="1" ht="15.75" thickBot="1">
      <c r="A36" s="91" t="s">
        <v>66</v>
      </c>
      <c r="B36" s="83" t="s">
        <v>65</v>
      </c>
      <c r="C36" s="80">
        <f>'[1] д.2'!F56/'[1] д.2'!F59</f>
        <v>71.15653848897766</v>
      </c>
      <c r="D36" s="80">
        <f>'[1] д.2'!G56/'[1] д.2'!G59</f>
        <v>112.63532464998293</v>
      </c>
      <c r="E36" s="80">
        <f>'[1] д.2'!H56/'[1] д.2'!H59</f>
        <v>112.63508064516128</v>
      </c>
      <c r="F36" s="80">
        <f>'[1] д.2'!E56/'[1] д.2'!E59</f>
        <v>107.65369324413248</v>
      </c>
      <c r="G36" s="80">
        <f>'[1]д.3 '!F51/'[1]д.3 '!F63</f>
        <v>5.5533453591341422</v>
      </c>
      <c r="H36" s="80">
        <f>'[1]д.3 '!G51/'[1]д.3 '!G63</f>
        <v>5.5533402864224115</v>
      </c>
      <c r="I36" s="80">
        <f>'[1]д.3 '!H51/'[1]д.3 '!H63</f>
        <v>5.5530921820303387</v>
      </c>
      <c r="J36" s="80">
        <f>'[1]д.3 '!E51/'[1]д.3 '!E63</f>
        <v>5.5533404769127133</v>
      </c>
      <c r="K36" s="80">
        <f>'[1]д. 4 '!F45/'[1]д. 4 '!F48</f>
        <v>3.5109872089209578E-2</v>
      </c>
      <c r="L36" s="80">
        <f>'[1]д. 4 '!G45/'[1]д. 4 '!G48</f>
        <v>3.5104128116273593E-2</v>
      </c>
      <c r="M36" s="80">
        <f>'[1]д. 4 '!H45/'[1]д. 4 '!H48</f>
        <v>3.5005834305717617E-2</v>
      </c>
      <c r="N36" s="80">
        <f>'[1]д. 4 '!E45/'[1]д. 4 '!E48</f>
        <v>3.5104652124755262E-2</v>
      </c>
      <c r="O36" s="80">
        <f>C36+G36+K36</f>
        <v>76.744993720201009</v>
      </c>
      <c r="P36" s="80">
        <f>D36+H36+L36</f>
        <v>118.22376906452162</v>
      </c>
      <c r="Q36" s="80">
        <f>E36+I36+M36</f>
        <v>118.22317866149734</v>
      </c>
      <c r="R36" s="80">
        <f>F36+J36+N36</f>
        <v>113.24213837316995</v>
      </c>
    </row>
    <row r="37" spans="1:18" s="86" customFormat="1" ht="15.75" hidden="1" thickBot="1">
      <c r="A37" s="85" t="s">
        <v>3</v>
      </c>
      <c r="B37" s="83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</row>
    <row r="38" spans="1:18" s="86" customFormat="1" ht="15.75" hidden="1" thickBot="1">
      <c r="A38" s="85" t="s">
        <v>64</v>
      </c>
      <c r="B38" s="81" t="s">
        <v>17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</row>
    <row r="39" spans="1:18" s="86" customFormat="1" ht="15.75" thickBot="1">
      <c r="A39" s="85" t="s">
        <v>63</v>
      </c>
      <c r="B39" s="83" t="s">
        <v>3</v>
      </c>
      <c r="C39" s="80">
        <f t="shared" ref="C39:R39" si="10">C32/C31*100</f>
        <v>4.8780757326335902</v>
      </c>
      <c r="D39" s="80">
        <f t="shared" si="10"/>
        <v>4.8780661072651021</v>
      </c>
      <c r="E39" s="80">
        <f t="shared" si="10"/>
        <v>4.8780564991789328</v>
      </c>
      <c r="F39" s="80">
        <f t="shared" si="10"/>
        <v>4.8784384174509876</v>
      </c>
      <c r="G39" s="80">
        <f t="shared" si="10"/>
        <v>11.299419357885853</v>
      </c>
      <c r="H39" s="80">
        <f t="shared" si="10"/>
        <v>8.1291862478707255</v>
      </c>
      <c r="I39" s="80">
        <f t="shared" si="10"/>
        <v>8.1294158107393333</v>
      </c>
      <c r="J39" s="80">
        <f t="shared" si="10"/>
        <v>8.4126947384745616</v>
      </c>
      <c r="K39" s="80">
        <f t="shared" si="10"/>
        <v>3.6973808679200659</v>
      </c>
      <c r="L39" s="80">
        <f t="shared" si="10"/>
        <v>3.696397834402195</v>
      </c>
      <c r="M39" s="80">
        <f t="shared" si="10"/>
        <v>3.7429071711626314</v>
      </c>
      <c r="N39" s="80">
        <f t="shared" si="10"/>
        <v>3.6965943098938894</v>
      </c>
      <c r="O39" s="80">
        <f t="shared" si="10"/>
        <v>6.0974888034035928</v>
      </c>
      <c r="P39" s="80">
        <f t="shared" si="10"/>
        <v>5.4330439123060206</v>
      </c>
      <c r="Q39" s="80">
        <f t="shared" si="10"/>
        <v>5.4330803756571617</v>
      </c>
      <c r="R39" s="80">
        <f t="shared" si="10"/>
        <v>5.4872576497860628</v>
      </c>
    </row>
    <row r="40" spans="1:18" s="86" customFormat="1" ht="21.75" thickBot="1">
      <c r="A40" s="91" t="s">
        <v>62</v>
      </c>
      <c r="B40" s="81" t="s">
        <v>17</v>
      </c>
      <c r="C40" s="88">
        <f t="shared" ref="C40:N40" si="11">C9+C27+C32</f>
        <v>1865.6797053577802</v>
      </c>
      <c r="D40" s="88">
        <f t="shared" si="11"/>
        <v>2953.2332704034343</v>
      </c>
      <c r="E40" s="88">
        <f t="shared" si="11"/>
        <v>2953.2329435483875</v>
      </c>
      <c r="F40" s="88">
        <f t="shared" si="11"/>
        <v>2822.6273322685897</v>
      </c>
      <c r="G40" s="88">
        <f t="shared" si="11"/>
        <v>464.57716956379141</v>
      </c>
      <c r="H40" s="88">
        <f t="shared" si="11"/>
        <v>627.36021139633749</v>
      </c>
      <c r="I40" s="88">
        <f t="shared" si="11"/>
        <v>627.35122520420066</v>
      </c>
      <c r="J40" s="88">
        <f t="shared" si="11"/>
        <v>607.80759967853896</v>
      </c>
      <c r="K40" s="88">
        <f t="shared" si="11"/>
        <v>0.92040013119055442</v>
      </c>
      <c r="L40" s="88">
        <f t="shared" si="11"/>
        <v>0.92039161592033114</v>
      </c>
      <c r="M40" s="88">
        <f t="shared" si="11"/>
        <v>0.91948658109684955</v>
      </c>
      <c r="N40" s="88">
        <f t="shared" si="11"/>
        <v>0.92039111097104098</v>
      </c>
      <c r="O40" s="88">
        <f>C40+G40+K40</f>
        <v>2331.1772750527621</v>
      </c>
      <c r="P40" s="88">
        <f>D40+H40+L40</f>
        <v>3581.5138734156922</v>
      </c>
      <c r="Q40" s="88">
        <f>E40+I40+M40</f>
        <v>3581.5036553336849</v>
      </c>
      <c r="R40" s="88">
        <f>F40+J40+N40</f>
        <v>3431.3553230580997</v>
      </c>
    </row>
    <row r="41" spans="1:18" s="86" customFormat="1" ht="21.75" thickBot="1">
      <c r="A41" s="91" t="s">
        <v>61</v>
      </c>
      <c r="B41" s="81" t="s">
        <v>17</v>
      </c>
      <c r="C41" s="88">
        <f t="shared" ref="C41:R41" si="12">C40*1.2</f>
        <v>2238.8156464293361</v>
      </c>
      <c r="D41" s="88">
        <f t="shared" si="12"/>
        <v>3543.8799244841211</v>
      </c>
      <c r="E41" s="88">
        <f t="shared" si="12"/>
        <v>3543.879532258065</v>
      </c>
      <c r="F41" s="88">
        <f t="shared" si="12"/>
        <v>3387.1527987223076</v>
      </c>
      <c r="G41" s="88">
        <f t="shared" si="12"/>
        <v>557.49260347654968</v>
      </c>
      <c r="H41" s="88">
        <f t="shared" si="12"/>
        <v>752.83225367560499</v>
      </c>
      <c r="I41" s="88">
        <f t="shared" si="12"/>
        <v>752.82147024504081</v>
      </c>
      <c r="J41" s="88">
        <f t="shared" si="12"/>
        <v>729.36911961424676</v>
      </c>
      <c r="K41" s="88">
        <f t="shared" si="12"/>
        <v>1.1044801574286653</v>
      </c>
      <c r="L41" s="88">
        <f t="shared" si="12"/>
        <v>1.1044699391043973</v>
      </c>
      <c r="M41" s="88">
        <f t="shared" si="12"/>
        <v>1.1033838973162193</v>
      </c>
      <c r="N41" s="88">
        <f t="shared" si="12"/>
        <v>1.1044693331652491</v>
      </c>
      <c r="O41" s="88">
        <f t="shared" si="12"/>
        <v>2797.4127300633145</v>
      </c>
      <c r="P41" s="88">
        <f t="shared" si="12"/>
        <v>4297.8166480988302</v>
      </c>
      <c r="Q41" s="88">
        <f t="shared" si="12"/>
        <v>4297.8043864004221</v>
      </c>
      <c r="R41" s="88">
        <f t="shared" si="12"/>
        <v>4117.6263876697194</v>
      </c>
    </row>
    <row r="42" spans="1:18" s="86" customFormat="1" ht="21.75" hidden="1" thickBot="1">
      <c r="A42" s="88" t="s">
        <v>60</v>
      </c>
      <c r="B42" s="81" t="s">
        <v>17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90"/>
    </row>
    <row r="43" spans="1:18" s="86" customFormat="1" ht="21.75" hidden="1" thickBot="1">
      <c r="A43" s="88" t="s">
        <v>59</v>
      </c>
      <c r="B43" s="89" t="s">
        <v>3</v>
      </c>
      <c r="C43" s="87">
        <f t="shared" ref="C43:R43" si="13">C11/C31*100</f>
        <v>57.967963020817258</v>
      </c>
      <c r="D43" s="87">
        <f t="shared" si="13"/>
        <v>73.446624665560606</v>
      </c>
      <c r="E43" s="87">
        <f t="shared" si="13"/>
        <v>73.446680119206704</v>
      </c>
      <c r="F43" s="87">
        <f t="shared" si="13"/>
        <v>72.217881103167201</v>
      </c>
      <c r="G43" s="87">
        <f t="shared" si="13"/>
        <v>0</v>
      </c>
      <c r="H43" s="87">
        <f t="shared" si="13"/>
        <v>0</v>
      </c>
      <c r="I43" s="87">
        <f t="shared" si="13"/>
        <v>0</v>
      </c>
      <c r="J43" s="87">
        <f t="shared" si="13"/>
        <v>0</v>
      </c>
      <c r="K43" s="87">
        <f t="shared" si="13"/>
        <v>0</v>
      </c>
      <c r="L43" s="87">
        <f t="shared" si="13"/>
        <v>0</v>
      </c>
      <c r="M43" s="87">
        <f t="shared" si="13"/>
        <v>0</v>
      </c>
      <c r="N43" s="87">
        <f t="shared" si="13"/>
        <v>0</v>
      </c>
      <c r="O43" s="87">
        <f t="shared" si="13"/>
        <v>46.932125194880456</v>
      </c>
      <c r="P43" s="87">
        <f t="shared" si="13"/>
        <v>60.882857990244702</v>
      </c>
      <c r="Q43" s="87">
        <f t="shared" si="13"/>
        <v>60.883097553098096</v>
      </c>
      <c r="R43" s="87">
        <f t="shared" si="13"/>
        <v>59.751165634552095</v>
      </c>
    </row>
    <row r="44" spans="1:18" s="86" customFormat="1" ht="15.75" thickBot="1">
      <c r="A44" s="88" t="s">
        <v>58</v>
      </c>
      <c r="B44" s="83" t="s">
        <v>3</v>
      </c>
      <c r="C44" s="87">
        <f t="shared" ref="C44:R44" si="14">C12/C31*100</f>
        <v>48.218942126514634</v>
      </c>
      <c r="D44" s="87">
        <f t="shared" si="14"/>
        <v>67.287764940034151</v>
      </c>
      <c r="E44" s="87">
        <f t="shared" si="14"/>
        <v>67.287794142571826</v>
      </c>
      <c r="F44" s="87">
        <f t="shared" si="14"/>
        <v>65.774021562146118</v>
      </c>
      <c r="G44" s="87">
        <f t="shared" si="14"/>
        <v>0</v>
      </c>
      <c r="H44" s="87">
        <f t="shared" si="14"/>
        <v>0</v>
      </c>
      <c r="I44" s="87">
        <f t="shared" si="14"/>
        <v>0</v>
      </c>
      <c r="J44" s="87">
        <f t="shared" si="14"/>
        <v>0</v>
      </c>
      <c r="K44" s="87">
        <f t="shared" si="14"/>
        <v>0</v>
      </c>
      <c r="L44" s="87">
        <f t="shared" si="14"/>
        <v>0</v>
      </c>
      <c r="M44" s="87">
        <f t="shared" si="14"/>
        <v>0</v>
      </c>
      <c r="N44" s="87">
        <f t="shared" si="14"/>
        <v>0</v>
      </c>
      <c r="O44" s="87">
        <f t="shared" si="14"/>
        <v>39.039105580328787</v>
      </c>
      <c r="P44" s="87">
        <f t="shared" si="14"/>
        <v>55.777531724286455</v>
      </c>
      <c r="Q44" s="87">
        <f t="shared" si="14"/>
        <v>55.777733292585921</v>
      </c>
      <c r="R44" s="87">
        <f t="shared" si="14"/>
        <v>54.419686603599835</v>
      </c>
    </row>
    <row r="45" spans="1:18" ht="21.75" thickBot="1">
      <c r="A45" s="85" t="s">
        <v>57</v>
      </c>
      <c r="B45" s="83" t="s">
        <v>23</v>
      </c>
      <c r="C45" s="80">
        <f>тариф!D8</f>
        <v>609.79999999999995</v>
      </c>
      <c r="D45" s="80">
        <f>тариф!E8</f>
        <v>4458.45</v>
      </c>
      <c r="E45" s="80">
        <f>тариф!F8</f>
        <v>8.57</v>
      </c>
      <c r="F45" s="80">
        <f>C45+D45+E45</f>
        <v>5076.82</v>
      </c>
      <c r="G45" s="80">
        <f>C45</f>
        <v>609.79999999999995</v>
      </c>
      <c r="H45" s="80">
        <f>D45</f>
        <v>4458.45</v>
      </c>
      <c r="I45" s="80">
        <f>E45</f>
        <v>8.57</v>
      </c>
      <c r="J45" s="80">
        <f>F45</f>
        <v>5076.82</v>
      </c>
      <c r="K45" s="80">
        <f>C45</f>
        <v>609.79999999999995</v>
      </c>
      <c r="L45" s="80">
        <f>D45</f>
        <v>4458.45</v>
      </c>
      <c r="M45" s="80">
        <f>E45</f>
        <v>8.57</v>
      </c>
      <c r="N45" s="80">
        <f>F45</f>
        <v>5076.82</v>
      </c>
      <c r="O45" s="80">
        <f t="shared" ref="O45:R46" si="15">C45</f>
        <v>609.79999999999995</v>
      </c>
      <c r="P45" s="80">
        <f t="shared" si="15"/>
        <v>4458.45</v>
      </c>
      <c r="Q45" s="80">
        <f t="shared" si="15"/>
        <v>8.57</v>
      </c>
      <c r="R45" s="80">
        <f t="shared" si="15"/>
        <v>5076.82</v>
      </c>
    </row>
    <row r="46" spans="1:18" ht="21.75" thickBot="1">
      <c r="A46" s="84" t="s">
        <v>56</v>
      </c>
      <c r="B46" s="83" t="s">
        <v>23</v>
      </c>
      <c r="C46" s="80">
        <f>тариф!D9</f>
        <v>700.85</v>
      </c>
      <c r="D46" s="80">
        <f>тариф!E9</f>
        <v>5124.75</v>
      </c>
      <c r="E46" s="80">
        <f>тариф!F9</f>
        <v>9.92</v>
      </c>
      <c r="F46" s="80">
        <f>C46+D46+E46</f>
        <v>5835.52</v>
      </c>
      <c r="G46" s="80"/>
      <c r="H46" s="80"/>
      <c r="I46" s="80"/>
      <c r="J46" s="80"/>
      <c r="K46" s="80"/>
      <c r="L46" s="80"/>
      <c r="M46" s="80"/>
      <c r="N46" s="80"/>
      <c r="O46" s="80">
        <f t="shared" si="15"/>
        <v>700.85</v>
      </c>
      <c r="P46" s="80">
        <f t="shared" si="15"/>
        <v>5124.75</v>
      </c>
      <c r="Q46" s="80">
        <f t="shared" si="15"/>
        <v>9.92</v>
      </c>
      <c r="R46" s="80">
        <f t="shared" si="15"/>
        <v>5835.52</v>
      </c>
    </row>
    <row r="47" spans="1:18" ht="15.75" thickBot="1">
      <c r="A47" s="82" t="s">
        <v>55</v>
      </c>
      <c r="B47" s="81" t="s">
        <v>17</v>
      </c>
      <c r="C47" s="80">
        <f t="shared" ref="C47:O47" si="16">C31+C32</f>
        <v>1865.6797053577802</v>
      </c>
      <c r="D47" s="80">
        <f t="shared" si="16"/>
        <v>2953.2332704034343</v>
      </c>
      <c r="E47" s="80">
        <f t="shared" si="16"/>
        <v>2953.2329435483875</v>
      </c>
      <c r="F47" s="80">
        <f t="shared" si="16"/>
        <v>2822.6273322685897</v>
      </c>
      <c r="G47" s="80">
        <f t="shared" si="16"/>
        <v>464.57716956379141</v>
      </c>
      <c r="H47" s="80">
        <f t="shared" si="16"/>
        <v>627.36021139633749</v>
      </c>
      <c r="I47" s="80">
        <f t="shared" si="16"/>
        <v>627.35122520420066</v>
      </c>
      <c r="J47" s="80">
        <f t="shared" si="16"/>
        <v>607.80759967853896</v>
      </c>
      <c r="K47" s="80">
        <f t="shared" si="16"/>
        <v>0.92040013119055442</v>
      </c>
      <c r="L47" s="80">
        <f t="shared" si="16"/>
        <v>0.92039161592033114</v>
      </c>
      <c r="M47" s="80">
        <f t="shared" si="16"/>
        <v>0.91948658109684955</v>
      </c>
      <c r="N47" s="80">
        <f t="shared" si="16"/>
        <v>0.92039111097104098</v>
      </c>
      <c r="O47" s="80">
        <f t="shared" si="16"/>
        <v>2331.1772750527625</v>
      </c>
      <c r="P47" s="80">
        <f>D47+H47+L47</f>
        <v>3581.5138734156922</v>
      </c>
      <c r="Q47" s="80">
        <f>E47+I47+M47</f>
        <v>3581.5036553336849</v>
      </c>
      <c r="R47" s="80">
        <f>F47+J47+N47</f>
        <v>3431.3553230580997</v>
      </c>
    </row>
    <row r="48" spans="1:18" hidden="1">
      <c r="A48" s="121" t="s">
        <v>54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</row>
    <row r="49" spans="1:18" ht="24.75" hidden="1" thickBot="1">
      <c r="A49" s="78" t="s">
        <v>53</v>
      </c>
      <c r="B49" s="76" t="str">
        <f>B47</f>
        <v>грн/Гкал</v>
      </c>
      <c r="C49" s="79">
        <f t="shared" ref="C49:R49" si="17">C11</f>
        <v>1031.1940928872084</v>
      </c>
      <c r="D49" s="79">
        <f t="shared" si="17"/>
        <v>2068.1637601834236</v>
      </c>
      <c r="E49" s="79">
        <f t="shared" si="17"/>
        <v>2068.1652822580645</v>
      </c>
      <c r="F49" s="79">
        <f t="shared" si="17"/>
        <v>1943.6231903926298</v>
      </c>
      <c r="G49" s="79">
        <f t="shared" si="17"/>
        <v>0</v>
      </c>
      <c r="H49" s="79">
        <f t="shared" si="17"/>
        <v>0</v>
      </c>
      <c r="I49" s="79">
        <f t="shared" si="17"/>
        <v>0</v>
      </c>
      <c r="J49" s="79">
        <f t="shared" si="17"/>
        <v>0</v>
      </c>
      <c r="K49" s="79">
        <f t="shared" si="17"/>
        <v>0</v>
      </c>
      <c r="L49" s="79">
        <f t="shared" si="17"/>
        <v>0</v>
      </c>
      <c r="M49" s="79">
        <f t="shared" si="17"/>
        <v>0</v>
      </c>
      <c r="N49" s="79">
        <f t="shared" si="17"/>
        <v>0</v>
      </c>
      <c r="O49" s="79">
        <f t="shared" si="17"/>
        <v>1031.1940928872084</v>
      </c>
      <c r="P49" s="79">
        <f t="shared" si="17"/>
        <v>2068.1637601834236</v>
      </c>
      <c r="Q49" s="79">
        <f t="shared" si="17"/>
        <v>2068.1652822580645</v>
      </c>
      <c r="R49" s="79">
        <f t="shared" si="17"/>
        <v>1943.6231903926298</v>
      </c>
    </row>
    <row r="50" spans="1:18" ht="24.75" hidden="1" thickBot="1">
      <c r="A50" s="78" t="s">
        <v>52</v>
      </c>
      <c r="B50" s="76" t="s">
        <v>17</v>
      </c>
      <c r="C50" s="79">
        <f t="shared" ref="C50:R50" si="18">C15+C16</f>
        <v>31.769237354640794</v>
      </c>
      <c r="D50" s="79">
        <f t="shared" si="18"/>
        <v>31.769233621152253</v>
      </c>
      <c r="E50" s="79">
        <f t="shared" si="18"/>
        <v>31.769153225806448</v>
      </c>
      <c r="F50" s="79">
        <f t="shared" si="18"/>
        <v>31.769233932880017</v>
      </c>
      <c r="G50" s="79">
        <f t="shared" si="18"/>
        <v>64.810265660872417</v>
      </c>
      <c r="H50" s="79">
        <f t="shared" si="18"/>
        <v>64.810254684924132</v>
      </c>
      <c r="I50" s="79">
        <f t="shared" si="18"/>
        <v>64.809801633605602</v>
      </c>
      <c r="J50" s="79">
        <f t="shared" si="18"/>
        <v>64.810255238515452</v>
      </c>
      <c r="K50" s="79">
        <f t="shared" si="18"/>
        <v>0.78174483437192532</v>
      </c>
      <c r="L50" s="79">
        <f t="shared" si="18"/>
        <v>0.78174354315961836</v>
      </c>
      <c r="M50" s="79">
        <f t="shared" si="18"/>
        <v>0.78129521586931161</v>
      </c>
      <c r="N50" s="79">
        <f t="shared" si="18"/>
        <v>0.78174294144759915</v>
      </c>
      <c r="O50" s="79">
        <f t="shared" si="18"/>
        <v>97.361247849885132</v>
      </c>
      <c r="P50" s="79">
        <f t="shared" si="18"/>
        <v>97.361231849236006</v>
      </c>
      <c r="Q50" s="79">
        <f t="shared" si="18"/>
        <v>97.360250075281357</v>
      </c>
      <c r="R50" s="79">
        <f t="shared" si="18"/>
        <v>97.361232112843069</v>
      </c>
    </row>
    <row r="51" spans="1:18" ht="24.75" hidden="1" thickBot="1">
      <c r="A51" s="78" t="s">
        <v>51</v>
      </c>
      <c r="B51" s="76" t="str">
        <f>B49</f>
        <v>грн/Гкал</v>
      </c>
      <c r="C51" s="79">
        <f t="shared" ref="C51:R51" si="19">C18+C24+C28</f>
        <v>510.37849753870302</v>
      </c>
      <c r="D51" s="79">
        <f t="shared" si="19"/>
        <v>510.37850821991316</v>
      </c>
      <c r="E51" s="79">
        <f t="shared" si="19"/>
        <v>510.37903225806451</v>
      </c>
      <c r="F51" s="79">
        <f t="shared" si="19"/>
        <v>510.37850782792276</v>
      </c>
      <c r="G51" s="79">
        <f t="shared" si="19"/>
        <v>56.785552640209914</v>
      </c>
      <c r="H51" s="79">
        <f t="shared" si="19"/>
        <v>56.785548789377479</v>
      </c>
      <c r="I51" s="79">
        <f t="shared" si="19"/>
        <v>56.78529754959159</v>
      </c>
      <c r="J51" s="79">
        <f t="shared" si="19"/>
        <v>56.785548827809535</v>
      </c>
      <c r="K51" s="79">
        <f t="shared" si="19"/>
        <v>7.0121351262709089E-2</v>
      </c>
      <c r="L51" s="79">
        <f t="shared" si="19"/>
        <v>7.0123024818042154E-2</v>
      </c>
      <c r="M51" s="79">
        <f t="shared" si="19"/>
        <v>7.0011668611435235E-2</v>
      </c>
      <c r="N51" s="79">
        <f t="shared" si="19"/>
        <v>7.0122635823212182E-2</v>
      </c>
      <c r="O51" s="79">
        <f t="shared" si="19"/>
        <v>567.23417153017567</v>
      </c>
      <c r="P51" s="79">
        <f t="shared" si="19"/>
        <v>567.2341800341087</v>
      </c>
      <c r="Q51" s="79">
        <f t="shared" si="19"/>
        <v>567.23434147626767</v>
      </c>
      <c r="R51" s="79">
        <f t="shared" si="19"/>
        <v>567.23417929155551</v>
      </c>
    </row>
    <row r="52" spans="1:18" ht="24.75" hidden="1" thickBot="1">
      <c r="A52" s="78" t="s">
        <v>50</v>
      </c>
      <c r="B52" s="76" t="str">
        <f>B50</f>
        <v>грн/Гкал</v>
      </c>
      <c r="C52" s="79">
        <f t="shared" ref="C52:R52" si="20">C20+C25+C29</f>
        <v>112.28327031461797</v>
      </c>
      <c r="D52" s="79">
        <f t="shared" si="20"/>
        <v>112.28327235474902</v>
      </c>
      <c r="E52" s="79">
        <f t="shared" si="20"/>
        <v>112.28245967741934</v>
      </c>
      <c r="F52" s="79">
        <f t="shared" si="20"/>
        <v>112.28310073481026</v>
      </c>
      <c r="G52" s="79">
        <f t="shared" si="20"/>
        <v>12.492817317153166</v>
      </c>
      <c r="H52" s="79">
        <f t="shared" si="20"/>
        <v>12.492821496259911</v>
      </c>
      <c r="I52" s="79">
        <f t="shared" si="20"/>
        <v>12.492415402567094</v>
      </c>
      <c r="J52" s="79">
        <f t="shared" si="20"/>
        <v>12.492820308775967</v>
      </c>
      <c r="K52" s="79">
        <f t="shared" si="20"/>
        <v>1.5431288947195804E-2</v>
      </c>
      <c r="L52" s="79">
        <f t="shared" si="20"/>
        <v>1.5426886025412419E-2</v>
      </c>
      <c r="M52" s="79">
        <f t="shared" si="20"/>
        <v>1.5169194865810968E-2</v>
      </c>
      <c r="N52" s="79">
        <f t="shared" si="20"/>
        <v>1.5426979881106678E-2</v>
      </c>
      <c r="O52" s="79">
        <f t="shared" si="20"/>
        <v>124.79151892071832</v>
      </c>
      <c r="P52" s="79">
        <f t="shared" si="20"/>
        <v>124.79152073703433</v>
      </c>
      <c r="Q52" s="79">
        <f t="shared" si="20"/>
        <v>124.79004427485225</v>
      </c>
      <c r="R52" s="79">
        <f t="shared" si="20"/>
        <v>124.79134802346735</v>
      </c>
    </row>
    <row r="53" spans="1:18" ht="24.75" hidden="1" thickBot="1">
      <c r="A53" s="78" t="s">
        <v>49</v>
      </c>
      <c r="B53" s="76" t="str">
        <f>B51</f>
        <v>грн/Гкал</v>
      </c>
      <c r="C53" s="75">
        <f>C17+C21+C22+C26+C30</f>
        <v>93.27834986088321</v>
      </c>
      <c r="D53" s="75">
        <f>D17+D21+D22+D26+D30-0.02</f>
        <v>93.258343821649845</v>
      </c>
      <c r="E53" s="75">
        <f>E17+E21+E22+E26+E30-0.01</f>
        <v>93.267137096774192</v>
      </c>
      <c r="F53" s="75">
        <f>F17+F21+F22+F26+F30</f>
        <v>93.278308496929142</v>
      </c>
      <c r="G53" s="75">
        <f>G17+G21+G22+G26+G30-0.02</f>
        <v>283.30339783535595</v>
      </c>
      <c r="H53" s="75">
        <f>H17+H21+H22+H26+H30+0.02</f>
        <v>446.11644831724033</v>
      </c>
      <c r="I53" s="75">
        <f>I17+I21+I22+I26+I30-0.02</f>
        <v>446.06801633605596</v>
      </c>
      <c r="J53" s="75">
        <f>J17+J21+J22+J26+J30</f>
        <v>426.54383649607428</v>
      </c>
      <c r="K53" s="75">
        <f>K17+K21+K22+K26+K30+0.01</f>
        <v>3.0285339455559203E-2</v>
      </c>
      <c r="L53" s="75">
        <f>L17+L21+L22+L26+L30-0.01</f>
        <v>1.0289562516121073E-2</v>
      </c>
      <c r="M53" s="75">
        <f>M17+M21+M22+M26+M30</f>
        <v>1.9836639439906649E-2</v>
      </c>
      <c r="N53" s="75">
        <f>N17+N21+N22+N26+N30+0.01</f>
        <v>3.0288290701659705E-2</v>
      </c>
      <c r="O53" s="75">
        <f>O17+O21+O22+O26+O30</f>
        <v>376.62203303569464</v>
      </c>
      <c r="P53" s="75">
        <f>P17+P21+P22+P26+P30-0.01</f>
        <v>539.38508170140631</v>
      </c>
      <c r="Q53" s="75">
        <f>Q17+Q21+Q22+Q26+Q30</f>
        <v>539.38499007227006</v>
      </c>
      <c r="R53" s="75">
        <f>R17+R21+R22+R26+R30+0.01</f>
        <v>519.85243328370507</v>
      </c>
    </row>
    <row r="54" spans="1:18" ht="24.75" hidden="1" thickBot="1">
      <c r="A54" s="77" t="s">
        <v>48</v>
      </c>
      <c r="B54" s="76" t="s">
        <v>17</v>
      </c>
      <c r="C54" s="75">
        <f>C49+C50+C51+C52+C53</f>
        <v>1778.9034479560535</v>
      </c>
      <c r="D54" s="75">
        <f>D49+D50+D51+D52+D53</f>
        <v>2815.8531182008878</v>
      </c>
      <c r="E54" s="75">
        <f>E49+E50+E51+E52+E53+0.01</f>
        <v>2815.873064516129</v>
      </c>
      <c r="F54" s="75">
        <f>F49+F50+F51+F52+F53</f>
        <v>2691.3323413851722</v>
      </c>
      <c r="G54" s="75">
        <f>G49+G50+G51+G52+G53+0.01</f>
        <v>417.40203345359146</v>
      </c>
      <c r="H54" s="75">
        <f>H49+H50+H51+H52+H53-0.01</f>
        <v>580.19507328780185</v>
      </c>
      <c r="I54" s="75">
        <f>I49+I50+I51+I52+I53</f>
        <v>580.15553092182029</v>
      </c>
      <c r="J54" s="75">
        <f>J49+J50+J51+J52+J53</f>
        <v>560.63246087117523</v>
      </c>
      <c r="K54" s="75">
        <f>K49+K50+K51+K52+K53-0.01</f>
        <v>0.88758281403738948</v>
      </c>
      <c r="L54" s="75">
        <f>L49+L50+L51+L52+L53</f>
        <v>0.87758301651919401</v>
      </c>
      <c r="M54" s="75">
        <f>M49+M50+M51+M52+M53</f>
        <v>0.88631271878646445</v>
      </c>
      <c r="N54" s="75">
        <f>N49+N50+N51+N52+N53-0.01</f>
        <v>0.88758084785357771</v>
      </c>
      <c r="O54" s="75">
        <f>O49+O50+O51+O52+O53</f>
        <v>2197.2030642236823</v>
      </c>
      <c r="P54" s="75">
        <f>P49+P50+P51+P52+P53</f>
        <v>3396.9357745052089</v>
      </c>
      <c r="Q54" s="75">
        <f>Q49+Q50+Q51+Q52+Q53</f>
        <v>3396.9349081567361</v>
      </c>
      <c r="R54" s="75">
        <f>R49+R50+R51+R52+R53</f>
        <v>3252.8623831042009</v>
      </c>
    </row>
    <row r="55" spans="1:18" ht="15.75" hidden="1">
      <c r="A55" s="107" t="s">
        <v>47</v>
      </c>
      <c r="B55" s="107"/>
      <c r="C55" s="70"/>
      <c r="D55" s="71"/>
      <c r="E55" s="71"/>
      <c r="F55" s="70"/>
      <c r="G55" s="70"/>
      <c r="H55" s="71"/>
      <c r="I55" s="71"/>
      <c r="J55" s="70"/>
      <c r="K55" s="108" t="s">
        <v>46</v>
      </c>
      <c r="L55" s="108"/>
      <c r="M55" s="108"/>
      <c r="N55" s="108"/>
      <c r="O55" s="108"/>
      <c r="P55" s="108"/>
      <c r="Q55" s="2"/>
      <c r="R55" s="2"/>
    </row>
    <row r="56" spans="1:18" ht="15.75" hidden="1">
      <c r="A56" s="74"/>
      <c r="B56" s="73"/>
      <c r="C56" s="70"/>
      <c r="D56" s="71"/>
      <c r="E56" s="71"/>
      <c r="F56" s="70"/>
      <c r="G56" s="70"/>
      <c r="H56" s="71"/>
      <c r="I56" s="71"/>
      <c r="J56" s="70"/>
      <c r="K56" s="72"/>
      <c r="L56" s="72"/>
      <c r="M56" s="72"/>
      <c r="N56" s="72"/>
      <c r="O56" s="72"/>
      <c r="P56" s="72"/>
      <c r="Q56" s="2"/>
      <c r="R56" s="2"/>
    </row>
    <row r="57" spans="1:18" ht="15.75">
      <c r="A57" s="107" t="s">
        <v>45</v>
      </c>
      <c r="B57" s="107"/>
      <c r="C57" s="70"/>
      <c r="D57" s="71"/>
      <c r="E57" s="71"/>
      <c r="F57" s="70"/>
      <c r="G57" s="70"/>
      <c r="H57" s="71"/>
      <c r="I57" s="71"/>
      <c r="J57" s="70"/>
      <c r="K57" s="108" t="s">
        <v>44</v>
      </c>
      <c r="L57" s="108"/>
      <c r="M57" s="108"/>
      <c r="N57" s="108"/>
      <c r="O57" s="108"/>
      <c r="P57" s="108"/>
      <c r="Q57" s="2"/>
      <c r="R57" s="2"/>
    </row>
    <row r="58" spans="1:18">
      <c r="A58" s="69"/>
      <c r="B58" s="2"/>
      <c r="C58" s="68"/>
      <c r="D58" s="2"/>
      <c r="E58" s="2"/>
      <c r="F58" s="68"/>
      <c r="G58" s="68"/>
      <c r="H58" s="2"/>
      <c r="I58" s="2"/>
      <c r="J58" s="68"/>
      <c r="K58" s="2"/>
      <c r="L58" s="2"/>
      <c r="M58" s="2"/>
      <c r="N58" s="68"/>
      <c r="O58" s="2"/>
      <c r="P58" s="2"/>
      <c r="Q58" s="2"/>
      <c r="R58" s="2"/>
    </row>
  </sheetData>
  <mergeCells count="13">
    <mergeCell ref="A57:B57"/>
    <mergeCell ref="K57:P57"/>
    <mergeCell ref="A1:R1"/>
    <mergeCell ref="A2:L2"/>
    <mergeCell ref="A3:A7"/>
    <mergeCell ref="B3:B7"/>
    <mergeCell ref="C3:F6"/>
    <mergeCell ref="G3:J6"/>
    <mergeCell ref="K3:N6"/>
    <mergeCell ref="O3:R6"/>
    <mergeCell ref="A48:R48"/>
    <mergeCell ref="A55:B55"/>
    <mergeCell ref="K55:P55"/>
  </mergeCells>
  <pageMargins left="0.78740157480314965" right="0.78740157480314965" top="0.78740157480314965" bottom="0.39370078740157483" header="0.31496062992125984" footer="0.31496062992125984"/>
  <pageSetup paperSize="9" scale="7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="82" zoomScaleNormal="82" workbookViewId="0">
      <selection activeCell="F35" sqref="F35"/>
    </sheetView>
  </sheetViews>
  <sheetFormatPr defaultRowHeight="15"/>
  <cols>
    <col min="1" max="1" width="18.7109375" style="1" customWidth="1"/>
    <col min="2" max="2" width="9.140625" style="1"/>
    <col min="3" max="3" width="14.140625" style="3" customWidth="1"/>
    <col min="4" max="4" width="13.5703125" style="3" customWidth="1"/>
    <col min="5" max="5" width="13.140625" style="3" customWidth="1"/>
    <col min="6" max="6" width="11.140625" style="3" customWidth="1"/>
    <col min="7" max="7" width="13" style="2" customWidth="1"/>
    <col min="8" max="8" width="13.7109375" style="2" customWidth="1"/>
    <col min="9" max="9" width="13" style="2" customWidth="1"/>
    <col min="10" max="11" width="13.140625" style="2" customWidth="1"/>
    <col min="12" max="12" width="12" style="2" customWidth="1"/>
    <col min="13" max="13" width="14.140625" style="2" customWidth="1"/>
    <col min="14" max="14" width="10.7109375" style="2" customWidth="1"/>
    <col min="15" max="15" width="9.140625" style="2" customWidth="1"/>
    <col min="16" max="16" width="8.5703125" style="2" customWidth="1"/>
    <col min="17" max="17" width="9.140625" style="2"/>
    <col min="18" max="18" width="7.7109375" style="2" customWidth="1"/>
    <col min="19" max="16384" width="9.140625" style="1"/>
  </cols>
  <sheetData>
    <row r="1" spans="1:18" ht="18.75">
      <c r="A1" s="122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ht="15.75" thickBot="1">
      <c r="Q2" s="2">
        <f>M2/M8</f>
        <v>0</v>
      </c>
      <c r="R2" s="2">
        <f>N2/N8</f>
        <v>0</v>
      </c>
    </row>
    <row r="3" spans="1:18" ht="15.75" thickBot="1">
      <c r="A3" s="123" t="s">
        <v>42</v>
      </c>
      <c r="B3" s="126" t="s">
        <v>41</v>
      </c>
      <c r="C3" s="129" t="s">
        <v>40</v>
      </c>
      <c r="D3" s="130"/>
      <c r="E3" s="130"/>
      <c r="F3" s="131"/>
      <c r="G3" s="132" t="s">
        <v>39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4"/>
    </row>
    <row r="4" spans="1:18">
      <c r="A4" s="124"/>
      <c r="B4" s="127"/>
      <c r="C4" s="135" t="s">
        <v>38</v>
      </c>
      <c r="D4" s="138" t="s">
        <v>32</v>
      </c>
      <c r="E4" s="139"/>
      <c r="F4" s="140"/>
      <c r="G4" s="144" t="s">
        <v>37</v>
      </c>
      <c r="H4" s="145"/>
      <c r="I4" s="145"/>
      <c r="J4" s="146"/>
      <c r="K4" s="144" t="s">
        <v>36</v>
      </c>
      <c r="L4" s="145"/>
      <c r="M4" s="145"/>
      <c r="N4" s="146"/>
      <c r="O4" s="144" t="s">
        <v>35</v>
      </c>
      <c r="P4" s="145"/>
      <c r="Q4" s="145"/>
      <c r="R4" s="146"/>
    </row>
    <row r="5" spans="1:18">
      <c r="A5" s="124"/>
      <c r="B5" s="127"/>
      <c r="C5" s="136"/>
      <c r="D5" s="141"/>
      <c r="E5" s="142"/>
      <c r="F5" s="143"/>
      <c r="G5" s="147" t="s">
        <v>34</v>
      </c>
      <c r="H5" s="149" t="s">
        <v>32</v>
      </c>
      <c r="I5" s="150"/>
      <c r="J5" s="151"/>
      <c r="K5" s="152" t="s">
        <v>33</v>
      </c>
      <c r="L5" s="154" t="s">
        <v>32</v>
      </c>
      <c r="M5" s="154"/>
      <c r="N5" s="155"/>
      <c r="O5" s="147" t="s">
        <v>31</v>
      </c>
      <c r="P5" s="154" t="s">
        <v>30</v>
      </c>
      <c r="Q5" s="154"/>
      <c r="R5" s="155"/>
    </row>
    <row r="6" spans="1:18" ht="33.75" thickBot="1">
      <c r="A6" s="125"/>
      <c r="B6" s="128"/>
      <c r="C6" s="137"/>
      <c r="D6" s="65" t="s">
        <v>29</v>
      </c>
      <c r="E6" s="65" t="s">
        <v>28</v>
      </c>
      <c r="F6" s="64" t="s">
        <v>27</v>
      </c>
      <c r="G6" s="148"/>
      <c r="H6" s="63" t="s">
        <v>29</v>
      </c>
      <c r="I6" s="62" t="s">
        <v>28</v>
      </c>
      <c r="J6" s="61" t="s">
        <v>27</v>
      </c>
      <c r="K6" s="153"/>
      <c r="L6" s="62" t="s">
        <v>29</v>
      </c>
      <c r="M6" s="62" t="s">
        <v>28</v>
      </c>
      <c r="N6" s="61" t="s">
        <v>27</v>
      </c>
      <c r="O6" s="148"/>
      <c r="P6" s="63" t="s">
        <v>29</v>
      </c>
      <c r="Q6" s="62" t="s">
        <v>28</v>
      </c>
      <c r="R6" s="61" t="s">
        <v>27</v>
      </c>
    </row>
    <row r="7" spans="1:18">
      <c r="A7" s="60">
        <v>1</v>
      </c>
      <c r="B7" s="59">
        <v>2</v>
      </c>
      <c r="C7" s="58">
        <v>3</v>
      </c>
      <c r="D7" s="57">
        <v>4</v>
      </c>
      <c r="E7" s="57">
        <v>5</v>
      </c>
      <c r="F7" s="56">
        <v>6</v>
      </c>
      <c r="G7" s="55">
        <v>7</v>
      </c>
      <c r="H7" s="54">
        <v>8</v>
      </c>
      <c r="I7" s="54">
        <v>9</v>
      </c>
      <c r="J7" s="53">
        <v>10</v>
      </c>
      <c r="K7" s="55">
        <v>11</v>
      </c>
      <c r="L7" s="54">
        <v>12</v>
      </c>
      <c r="M7" s="54">
        <v>13</v>
      </c>
      <c r="N7" s="53">
        <v>14</v>
      </c>
      <c r="O7" s="55">
        <v>15</v>
      </c>
      <c r="P7" s="54">
        <v>16</v>
      </c>
      <c r="Q7" s="54">
        <v>17</v>
      </c>
      <c r="R7" s="53">
        <v>18</v>
      </c>
    </row>
    <row r="8" spans="1:18">
      <c r="A8" s="48" t="s">
        <v>26</v>
      </c>
      <c r="B8" s="48" t="s">
        <v>23</v>
      </c>
      <c r="C8" s="51">
        <f>D8+E8+F8</f>
        <v>5076.82</v>
      </c>
      <c r="D8" s="38">
        <f t="shared" ref="D8:F9" si="0">H8</f>
        <v>609.79999999999995</v>
      </c>
      <c r="E8" s="38">
        <f t="shared" si="0"/>
        <v>4458.45</v>
      </c>
      <c r="F8" s="38">
        <f t="shared" si="0"/>
        <v>8.57</v>
      </c>
      <c r="G8" s="52">
        <f>H8+I8+J8</f>
        <v>5076.82</v>
      </c>
      <c r="H8" s="37">
        <v>609.79999999999995</v>
      </c>
      <c r="I8" s="37">
        <v>4458.45</v>
      </c>
      <c r="J8" s="37">
        <v>8.57</v>
      </c>
      <c r="K8" s="52">
        <f>L8+M8+N8</f>
        <v>5076.82</v>
      </c>
      <c r="L8" s="37">
        <f t="shared" ref="L8:N9" si="1">H8</f>
        <v>609.79999999999995</v>
      </c>
      <c r="M8" s="37">
        <f t="shared" si="1"/>
        <v>4458.45</v>
      </c>
      <c r="N8" s="37">
        <f t="shared" si="1"/>
        <v>8.57</v>
      </c>
      <c r="O8" s="52">
        <f>P8+Q8+R8</f>
        <v>5076.82</v>
      </c>
      <c r="P8" s="37">
        <f>H8</f>
        <v>609.79999999999995</v>
      </c>
      <c r="Q8" s="37">
        <f>I8</f>
        <v>4458.45</v>
      </c>
      <c r="R8" s="37">
        <f>J8</f>
        <v>8.57</v>
      </c>
    </row>
    <row r="9" spans="1:18">
      <c r="A9" s="48" t="s">
        <v>25</v>
      </c>
      <c r="B9" s="48" t="s">
        <v>23</v>
      </c>
      <c r="C9" s="51">
        <f>D9+E9+F9</f>
        <v>5835.52</v>
      </c>
      <c r="D9" s="38">
        <f t="shared" si="0"/>
        <v>700.85</v>
      </c>
      <c r="E9" s="38">
        <f t="shared" si="0"/>
        <v>5124.75</v>
      </c>
      <c r="F9" s="38">
        <f t="shared" si="0"/>
        <v>9.92</v>
      </c>
      <c r="G9" s="52">
        <f>H9+I9+J9</f>
        <v>5835.52</v>
      </c>
      <c r="H9" s="37">
        <v>700.85</v>
      </c>
      <c r="I9" s="37">
        <v>5124.75</v>
      </c>
      <c r="J9" s="37">
        <v>9.92</v>
      </c>
      <c r="K9" s="52">
        <f>L9+M9+N9</f>
        <v>5835.52</v>
      </c>
      <c r="L9" s="37">
        <f t="shared" si="1"/>
        <v>700.85</v>
      </c>
      <c r="M9" s="37">
        <f t="shared" si="1"/>
        <v>5124.75</v>
      </c>
      <c r="N9" s="37">
        <f t="shared" si="1"/>
        <v>9.92</v>
      </c>
      <c r="O9" s="52">
        <f>P9+Q9+R9</f>
        <v>5835.52</v>
      </c>
      <c r="P9" s="37">
        <f>L9</f>
        <v>700.85</v>
      </c>
      <c r="Q9" s="37">
        <f>M9</f>
        <v>5124.75</v>
      </c>
      <c r="R9" s="37">
        <f>N9</f>
        <v>9.92</v>
      </c>
    </row>
    <row r="10" spans="1:18" ht="30">
      <c r="A10" s="36" t="s">
        <v>24</v>
      </c>
      <c r="B10" s="48" t="s">
        <v>23</v>
      </c>
      <c r="C10" s="51">
        <f>D10+E10+F10</f>
        <v>0</v>
      </c>
      <c r="D10" s="38">
        <v>0</v>
      </c>
      <c r="E10" s="38">
        <v>0</v>
      </c>
      <c r="F10" s="38">
        <v>0</v>
      </c>
      <c r="G10" s="52">
        <f>G9-G8</f>
        <v>758.70000000000073</v>
      </c>
      <c r="H10" s="52">
        <f>H9-H8</f>
        <v>91.050000000000068</v>
      </c>
      <c r="I10" s="52">
        <f>I9-I8</f>
        <v>666.30000000000018</v>
      </c>
      <c r="J10" s="52">
        <f>J9-J8</f>
        <v>1.3499999999999996</v>
      </c>
      <c r="K10" s="52">
        <f>L10+M10+N10</f>
        <v>0</v>
      </c>
      <c r="L10" s="37">
        <v>0</v>
      </c>
      <c r="M10" s="37">
        <v>0</v>
      </c>
      <c r="N10" s="37">
        <v>0</v>
      </c>
      <c r="O10" s="52" t="s">
        <v>21</v>
      </c>
      <c r="P10" s="37" t="s">
        <v>21</v>
      </c>
      <c r="Q10" s="37" t="s">
        <v>21</v>
      </c>
      <c r="R10" s="37" t="s">
        <v>21</v>
      </c>
    </row>
    <row r="11" spans="1:18" ht="65.25" customHeight="1">
      <c r="A11" s="36" t="s">
        <v>22</v>
      </c>
      <c r="B11" s="48" t="s">
        <v>19</v>
      </c>
      <c r="C11" s="51">
        <f>D11+E11+F11</f>
        <v>2141392.7790847411</v>
      </c>
      <c r="D11" s="38">
        <f>L11</f>
        <v>169870.99255239975</v>
      </c>
      <c r="E11" s="38">
        <f>M11</f>
        <v>1967739.4008976191</v>
      </c>
      <c r="F11" s="38">
        <f>N11</f>
        <v>3782.3856347223405</v>
      </c>
      <c r="G11" s="50" t="s">
        <v>21</v>
      </c>
      <c r="H11" s="49" t="s">
        <v>21</v>
      </c>
      <c r="I11" s="49" t="s">
        <v>21</v>
      </c>
      <c r="J11" s="49" t="s">
        <v>21</v>
      </c>
      <c r="K11" s="43">
        <f>L11+M11+N11</f>
        <v>2141392.7790847411</v>
      </c>
      <c r="L11" s="25">
        <f>H10*H33</f>
        <v>169870.99255239975</v>
      </c>
      <c r="M11" s="25">
        <f>I10*I33</f>
        <v>1967739.4008976191</v>
      </c>
      <c r="N11" s="25">
        <f>J10*J33-204.48</f>
        <v>3782.3856347223405</v>
      </c>
      <c r="O11" s="50">
        <f>P11+Q11+R11</f>
        <v>0</v>
      </c>
      <c r="P11" s="49">
        <v>0</v>
      </c>
      <c r="Q11" s="49">
        <v>0</v>
      </c>
      <c r="R11" s="49">
        <v>0</v>
      </c>
    </row>
    <row r="12" spans="1:18" ht="57.75" customHeight="1">
      <c r="A12" s="36" t="s">
        <v>20</v>
      </c>
      <c r="B12" s="48" t="s">
        <v>19</v>
      </c>
      <c r="C12" s="35">
        <f>C13-K11</f>
        <v>16414670.189999998</v>
      </c>
      <c r="D12" s="35">
        <f>D13-L11</f>
        <v>1331946.8958313116</v>
      </c>
      <c r="E12" s="35">
        <f>E13-M11</f>
        <v>15053592.404646024</v>
      </c>
      <c r="F12" s="35">
        <f>F13-N11</f>
        <v>29130.889522664293</v>
      </c>
      <c r="G12" s="25">
        <f t="shared" ref="G12:R12" si="2">G13</f>
        <v>15705382.189999999</v>
      </c>
      <c r="H12" s="25">
        <f t="shared" si="2"/>
        <v>1246751.0798677753</v>
      </c>
      <c r="I12" s="25">
        <f t="shared" si="2"/>
        <v>14430697.544556441</v>
      </c>
      <c r="J12" s="25">
        <f t="shared" si="2"/>
        <v>27933.565575784163</v>
      </c>
      <c r="K12" s="25">
        <f t="shared" si="2"/>
        <v>704833</v>
      </c>
      <c r="L12" s="25">
        <f t="shared" si="2"/>
        <v>84660.705599174282</v>
      </c>
      <c r="M12" s="25">
        <f t="shared" si="2"/>
        <v>618982.49078163109</v>
      </c>
      <c r="N12" s="25">
        <f t="shared" si="2"/>
        <v>1189.8036191946928</v>
      </c>
      <c r="O12" s="25">
        <f t="shared" si="2"/>
        <v>4455</v>
      </c>
      <c r="P12" s="25">
        <f t="shared" si="2"/>
        <v>535.11036436194308</v>
      </c>
      <c r="Q12" s="25">
        <f t="shared" si="2"/>
        <v>3912.3693079526161</v>
      </c>
      <c r="R12" s="25">
        <f t="shared" si="2"/>
        <v>7.5203276854408863</v>
      </c>
    </row>
    <row r="13" spans="1:18">
      <c r="A13" s="156" t="s">
        <v>18</v>
      </c>
      <c r="B13" s="45" t="s">
        <v>7</v>
      </c>
      <c r="C13" s="47">
        <f>G13+K13+O13+K11</f>
        <v>18556062.96908474</v>
      </c>
      <c r="D13" s="47">
        <f>H13+L13+P13+L11</f>
        <v>1501817.8883837112</v>
      </c>
      <c r="E13" s="47">
        <f>I13+M13+Q13+M11</f>
        <v>17021331.805543642</v>
      </c>
      <c r="F13" s="47">
        <f>J13+N13+R13+N11</f>
        <v>32913.275157386634</v>
      </c>
      <c r="G13" s="46">
        <f>J13+I13+H13</f>
        <v>15705382.189999999</v>
      </c>
      <c r="H13" s="46">
        <f>('[1]розподіл '!F30-'[1]розподіл '!F7+'[1]розподіл '!M30+'[1]розподіл '!Q30)/G9*H9+'[1]розподіл '!G7</f>
        <v>1246751.0798677753</v>
      </c>
      <c r="I13" s="46">
        <f>('[1]розподіл '!F30-'[1]розподіл '!F7+'[1]розподіл '!M30+'[1]розподіл '!Q30)/G9*I9+'[1]розподіл '!H7</f>
        <v>14430697.544556441</v>
      </c>
      <c r="J13" s="46">
        <f>('[1]розподіл '!F30-'[1]розподіл '!F7+'[1]розподіл '!M30+'[1]розподіл '!Q30)/G9*J9+'[1]розподіл '!I7-2.81</f>
        <v>27933.565575784163</v>
      </c>
      <c r="K13" s="46">
        <f>N13+M13+L13</f>
        <v>704833</v>
      </c>
      <c r="L13" s="46">
        <f>('[1]розподіл '!J30+'[1]розподіл '!N30+'[1]розподіл '!R30)*L8/K8</f>
        <v>84660.705599174282</v>
      </c>
      <c r="M13" s="46">
        <f>('[1]розподіл '!J30+'[1]розподіл '!N30+'[1]розподіл '!R30)*M8/K8</f>
        <v>618982.49078163109</v>
      </c>
      <c r="N13" s="46">
        <f>('[1]розподіл '!J30+'[1]розподіл '!N30+'[1]розподіл '!R30)*N8/K8</f>
        <v>1189.8036191946928</v>
      </c>
      <c r="O13" s="46">
        <f>R13+Q13+P13</f>
        <v>4455</v>
      </c>
      <c r="P13" s="46">
        <f>('[1]розподіл '!K30+'[1]розподіл '!O30+'[1]розподіл '!S30)*P8/O8</f>
        <v>535.11036436194308</v>
      </c>
      <c r="Q13" s="46">
        <f>('[1]розподіл '!K30+'[1]розподіл '!O30+'[1]розподіл '!S30)*Q8/O8</f>
        <v>3912.3693079526161</v>
      </c>
      <c r="R13" s="46">
        <f>('[1]розподіл '!K30+'[1]розподіл '!O30+'[1]розподіл '!S30)*R8/O8</f>
        <v>7.5203276854408863</v>
      </c>
    </row>
    <row r="14" spans="1:18" ht="43.5" customHeight="1">
      <c r="A14" s="156"/>
      <c r="B14" s="45" t="s">
        <v>17</v>
      </c>
      <c r="C14" s="44">
        <f>G14+K14+O14</f>
        <v>3252.861493213069</v>
      </c>
      <c r="D14" s="44">
        <f>H14+L14+P14</f>
        <v>2197.2023126092122</v>
      </c>
      <c r="E14" s="44">
        <f>I14+M14+Q14</f>
        <v>3396.9448607443055</v>
      </c>
      <c r="F14" s="44">
        <f>J14+N14+R14</f>
        <v>3396.9465882717145</v>
      </c>
      <c r="G14" s="43">
        <f>G13/G9</f>
        <v>2691.3423636625353</v>
      </c>
      <c r="H14" s="43">
        <f>H13/H9</f>
        <v>1778.9128627634661</v>
      </c>
      <c r="I14" s="43">
        <f>I13/I9</f>
        <v>2815.8832225096717</v>
      </c>
      <c r="J14" s="43">
        <f>J13/J9</f>
        <v>2815.8836265911455</v>
      </c>
      <c r="K14" s="43">
        <f>(K13+K11)/K8+0.01</f>
        <v>560.64161173426305</v>
      </c>
      <c r="L14" s="43">
        <f>(L13+L11)/L8+0.01</f>
        <v>417.41193202947534</v>
      </c>
      <c r="M14" s="43">
        <f>(M13+M11)/M8</f>
        <v>580.18412041836291</v>
      </c>
      <c r="N14" s="43">
        <f>(N11+N12)/N8</f>
        <v>580.18544386429789</v>
      </c>
      <c r="O14" s="43">
        <f>O13/O8</f>
        <v>0.87751781627081527</v>
      </c>
      <c r="P14" s="43">
        <f>P13/P8</f>
        <v>0.87751781627081527</v>
      </c>
      <c r="Q14" s="43">
        <f>Q13/Q8</f>
        <v>0.87751781627081527</v>
      </c>
      <c r="R14" s="43">
        <f>R13/R8</f>
        <v>0.87751781627081515</v>
      </c>
    </row>
    <row r="15" spans="1:18" ht="38.25">
      <c r="A15" s="156" t="s">
        <v>16</v>
      </c>
      <c r="B15" s="42" t="s">
        <v>15</v>
      </c>
      <c r="C15" s="157">
        <v>168154.8</v>
      </c>
      <c r="D15" s="157"/>
      <c r="E15" s="157"/>
      <c r="F15" s="157"/>
      <c r="G15" s="158">
        <v>0</v>
      </c>
      <c r="H15" s="158"/>
      <c r="I15" s="158"/>
      <c r="J15" s="158"/>
      <c r="K15" s="159">
        <v>168154.8</v>
      </c>
      <c r="L15" s="160"/>
      <c r="M15" s="160"/>
      <c r="N15" s="161"/>
      <c r="O15" s="158">
        <v>0</v>
      </c>
      <c r="P15" s="158"/>
      <c r="Q15" s="158"/>
      <c r="R15" s="158"/>
    </row>
    <row r="16" spans="1:18" ht="30">
      <c r="A16" s="156"/>
      <c r="B16" s="36" t="s">
        <v>5</v>
      </c>
      <c r="C16" s="157">
        <f>C15/C8</f>
        <v>33.122072478441225</v>
      </c>
      <c r="D16" s="157"/>
      <c r="E16" s="157"/>
      <c r="F16" s="157"/>
      <c r="G16" s="158">
        <f>G15/G8</f>
        <v>0</v>
      </c>
      <c r="H16" s="158"/>
      <c r="I16" s="158"/>
      <c r="J16" s="158"/>
      <c r="K16" s="159">
        <f>$K$15/K8</f>
        <v>33.122072478441225</v>
      </c>
      <c r="L16" s="160"/>
      <c r="M16" s="160"/>
      <c r="N16" s="161"/>
      <c r="O16" s="158">
        <v>0</v>
      </c>
      <c r="P16" s="158"/>
      <c r="Q16" s="158"/>
      <c r="R16" s="158"/>
    </row>
    <row r="17" spans="1:18">
      <c r="A17" s="156" t="s">
        <v>14</v>
      </c>
      <c r="B17" s="36" t="s">
        <v>3</v>
      </c>
      <c r="C17" s="40">
        <f>D17+E17+F17</f>
        <v>1</v>
      </c>
      <c r="D17" s="40">
        <f>D8/C8</f>
        <v>0.12011455990167073</v>
      </c>
      <c r="E17" s="40">
        <f>E8/C8</f>
        <v>0.87819737552247279</v>
      </c>
      <c r="F17" s="40">
        <f>F8/C8</f>
        <v>1.6880645758565404E-3</v>
      </c>
      <c r="G17" s="39">
        <f>H17+I17+J17</f>
        <v>1</v>
      </c>
      <c r="H17" s="39">
        <f>H8/G8</f>
        <v>0.12011455990167073</v>
      </c>
      <c r="I17" s="39">
        <f>I8/G8</f>
        <v>0.87819737552247279</v>
      </c>
      <c r="J17" s="39">
        <f>J8/G8</f>
        <v>1.6880645758565404E-3</v>
      </c>
      <c r="K17" s="41">
        <f>L17+M17+N17</f>
        <v>1</v>
      </c>
      <c r="L17" s="41">
        <f>L8/K8</f>
        <v>0.12011455990167073</v>
      </c>
      <c r="M17" s="41">
        <f>M8/K8</f>
        <v>0.87819737552247279</v>
      </c>
      <c r="N17" s="41">
        <f>N8/K8</f>
        <v>1.6880645758565404E-3</v>
      </c>
      <c r="O17" s="39">
        <v>1</v>
      </c>
      <c r="P17" s="39">
        <f>P8/O8</f>
        <v>0.12011455990167073</v>
      </c>
      <c r="Q17" s="39">
        <f>Q8/O8</f>
        <v>0.87819737552247279</v>
      </c>
      <c r="R17" s="39">
        <f>R8/O8</f>
        <v>1.6880645758565404E-3</v>
      </c>
    </row>
    <row r="18" spans="1:18">
      <c r="A18" s="156"/>
      <c r="B18" s="36" t="s">
        <v>7</v>
      </c>
      <c r="C18" s="35">
        <f>SUM(D18:F18)</f>
        <v>168154.80000000002</v>
      </c>
      <c r="D18" s="35">
        <f>C15*D17</f>
        <v>20197.839797353459</v>
      </c>
      <c r="E18" s="35">
        <f>C15*E17</f>
        <v>147673.1040415063</v>
      </c>
      <c r="F18" s="35">
        <f>C15*F17</f>
        <v>283.85616114024134</v>
      </c>
      <c r="G18" s="25">
        <f>H18+I18+J18</f>
        <v>0</v>
      </c>
      <c r="H18" s="25">
        <f>G15*H17</f>
        <v>0</v>
      </c>
      <c r="I18" s="25">
        <f>G15*I17</f>
        <v>0</v>
      </c>
      <c r="J18" s="25">
        <f>G15*J17</f>
        <v>0</v>
      </c>
      <c r="K18" s="25">
        <f>L18+M18+N18</f>
        <v>168154.8</v>
      </c>
      <c r="L18" s="25">
        <f>K15/$K$8*$L$8</f>
        <v>20197.839797353459</v>
      </c>
      <c r="M18" s="25">
        <f>K15/$K$8*$M$8</f>
        <v>147673.10404150627</v>
      </c>
      <c r="N18" s="25">
        <f>K15/$K$8*$N$8</f>
        <v>283.85616114024128</v>
      </c>
      <c r="O18" s="25">
        <v>0</v>
      </c>
      <c r="P18" s="25">
        <v>0</v>
      </c>
      <c r="Q18" s="25">
        <v>0</v>
      </c>
      <c r="R18" s="25">
        <v>0</v>
      </c>
    </row>
    <row r="19" spans="1:18" ht="30">
      <c r="A19" s="156"/>
      <c r="B19" s="36" t="s">
        <v>5</v>
      </c>
      <c r="C19" s="35">
        <f>C18/C8</f>
        <v>33.122072478441233</v>
      </c>
      <c r="D19" s="35">
        <f>D18/D8</f>
        <v>33.122072478441225</v>
      </c>
      <c r="E19" s="35">
        <f>E18/E8</f>
        <v>33.122072478441233</v>
      </c>
      <c r="F19" s="35">
        <f>F18/F8</f>
        <v>33.122072478441225</v>
      </c>
      <c r="G19" s="25">
        <v>0</v>
      </c>
      <c r="H19" s="25">
        <v>0</v>
      </c>
      <c r="I19" s="25">
        <v>0</v>
      </c>
      <c r="J19" s="25">
        <v>0</v>
      </c>
      <c r="K19" s="25">
        <f>K18/K8</f>
        <v>33.122072478441225</v>
      </c>
      <c r="L19" s="25">
        <f>L18/L8</f>
        <v>33.122072478441225</v>
      </c>
      <c r="M19" s="25">
        <f>M18/M8</f>
        <v>33.122072478441225</v>
      </c>
      <c r="N19" s="25">
        <f>N18/N8</f>
        <v>33.122072478441225</v>
      </c>
      <c r="O19" s="25">
        <v>0</v>
      </c>
      <c r="P19" s="25">
        <v>0</v>
      </c>
      <c r="Q19" s="25">
        <v>0</v>
      </c>
      <c r="R19" s="25">
        <v>0</v>
      </c>
    </row>
    <row r="20" spans="1:18">
      <c r="A20" s="156" t="s">
        <v>13</v>
      </c>
      <c r="B20" s="36" t="s">
        <v>3</v>
      </c>
      <c r="C20" s="40">
        <v>0.04</v>
      </c>
      <c r="D20" s="40">
        <v>0.04</v>
      </c>
      <c r="E20" s="40">
        <v>0.04</v>
      </c>
      <c r="F20" s="40">
        <v>0.04</v>
      </c>
      <c r="G20" s="39">
        <v>0.04</v>
      </c>
      <c r="H20" s="39">
        <v>0.04</v>
      </c>
      <c r="I20" s="39">
        <v>0.04</v>
      </c>
      <c r="J20" s="39">
        <v>0.04</v>
      </c>
      <c r="K20" s="39">
        <v>0.04</v>
      </c>
      <c r="L20" s="39">
        <v>0.04</v>
      </c>
      <c r="M20" s="39">
        <v>0.04</v>
      </c>
      <c r="N20" s="39">
        <v>0.04</v>
      </c>
      <c r="O20" s="39">
        <v>0.04</v>
      </c>
      <c r="P20" s="39">
        <v>0.04</v>
      </c>
      <c r="Q20" s="39">
        <v>0.04</v>
      </c>
      <c r="R20" s="39">
        <v>0.04</v>
      </c>
    </row>
    <row r="21" spans="1:18">
      <c r="A21" s="156"/>
      <c r="B21" s="36" t="s">
        <v>7</v>
      </c>
      <c r="C21" s="38">
        <f>D21+E21+F21</f>
        <v>656586.80759999994</v>
      </c>
      <c r="D21" s="38">
        <f t="shared" ref="D21:F24" si="3">H21+L21+P21</f>
        <v>53277.875833252459</v>
      </c>
      <c r="E21" s="38">
        <f t="shared" si="3"/>
        <v>602143.69618584088</v>
      </c>
      <c r="F21" s="38">
        <f t="shared" si="3"/>
        <v>1165.2355809065718</v>
      </c>
      <c r="G21" s="37">
        <f>H21+I21+J21</f>
        <v>628215.28759999992</v>
      </c>
      <c r="H21" s="37">
        <f>H13*H20</f>
        <v>49870.043194711012</v>
      </c>
      <c r="I21" s="37">
        <f>I13*I20</f>
        <v>577227.9017822576</v>
      </c>
      <c r="J21" s="37">
        <f>J13*J20</f>
        <v>1117.3426230313667</v>
      </c>
      <c r="K21" s="37">
        <f>L21+M21+N21</f>
        <v>28193.32</v>
      </c>
      <c r="L21" s="37">
        <f>L13*L20</f>
        <v>3386.4282239669715</v>
      </c>
      <c r="M21" s="37">
        <f>M13*M20</f>
        <v>24759.299631265243</v>
      </c>
      <c r="N21" s="37">
        <f>N13*N20</f>
        <v>47.592144767787715</v>
      </c>
      <c r="O21" s="37">
        <f>P21+Q21+R21</f>
        <v>178.20000000000002</v>
      </c>
      <c r="P21" s="37">
        <f>P13*P20</f>
        <v>21.404414574477723</v>
      </c>
      <c r="Q21" s="37">
        <f>Q13*Q20</f>
        <v>156.49477231810465</v>
      </c>
      <c r="R21" s="37">
        <f>R13*R20</f>
        <v>0.30081310741763545</v>
      </c>
    </row>
    <row r="22" spans="1:18" ht="30">
      <c r="A22" s="156"/>
      <c r="B22" s="36" t="s">
        <v>5</v>
      </c>
      <c r="C22" s="35">
        <f>G22+K22+O22</f>
        <v>113.24213770580191</v>
      </c>
      <c r="D22" s="35">
        <f t="shared" si="3"/>
        <v>76.744957669839152</v>
      </c>
      <c r="E22" s="35">
        <f t="shared" si="3"/>
        <v>118.22377205968738</v>
      </c>
      <c r="F22" s="35">
        <f t="shared" si="3"/>
        <v>118.22378822294634</v>
      </c>
      <c r="G22" s="25">
        <f>G21/G9</f>
        <v>107.6536945465014</v>
      </c>
      <c r="H22" s="25">
        <f>H21/H9</f>
        <v>71.156514510538642</v>
      </c>
      <c r="I22" s="25">
        <f>I21/I9</f>
        <v>112.63532890038687</v>
      </c>
      <c r="J22" s="25">
        <f>J21/J9</f>
        <v>112.63534506364583</v>
      </c>
      <c r="K22" s="25">
        <f t="shared" ref="K22:R22" si="4">K21/K8</f>
        <v>5.5533424466496744</v>
      </c>
      <c r="L22" s="25">
        <f t="shared" si="4"/>
        <v>5.5533424466496752</v>
      </c>
      <c r="M22" s="25">
        <f t="shared" si="4"/>
        <v>5.5533424466496752</v>
      </c>
      <c r="N22" s="25">
        <f t="shared" si="4"/>
        <v>5.5533424466496752</v>
      </c>
      <c r="O22" s="25">
        <f t="shared" si="4"/>
        <v>3.5100712650832616E-2</v>
      </c>
      <c r="P22" s="25">
        <f t="shared" si="4"/>
        <v>3.5100712650832609E-2</v>
      </c>
      <c r="Q22" s="25">
        <f t="shared" si="4"/>
        <v>3.5100712650832609E-2</v>
      </c>
      <c r="R22" s="25">
        <f t="shared" si="4"/>
        <v>3.5100712650832609E-2</v>
      </c>
    </row>
    <row r="23" spans="1:18" s="2" customFormat="1">
      <c r="A23" s="154" t="s">
        <v>12</v>
      </c>
      <c r="B23" s="29" t="s">
        <v>7</v>
      </c>
      <c r="C23" s="22">
        <f>D23+E23+F23</f>
        <v>181040.84069268292</v>
      </c>
      <c r="D23" s="22">
        <f t="shared" si="3"/>
        <v>16128.815626230569</v>
      </c>
      <c r="E23" s="22">
        <f t="shared" si="3"/>
        <v>164593.93175722257</v>
      </c>
      <c r="F23" s="22">
        <f t="shared" si="3"/>
        <v>318.09330922978825</v>
      </c>
      <c r="G23" s="22">
        <f t="shared" ref="G23:R23" si="5">G26*G25</f>
        <v>137900.91679024388</v>
      </c>
      <c r="H23" s="22">
        <f t="shared" si="5"/>
        <v>10947.08265249754</v>
      </c>
      <c r="I23" s="22">
        <f t="shared" si="5"/>
        <v>126708.56380586144</v>
      </c>
      <c r="J23" s="22">
        <f t="shared" si="5"/>
        <v>245.27033188493414</v>
      </c>
      <c r="K23" s="22">
        <f t="shared" si="5"/>
        <v>43100.806829268295</v>
      </c>
      <c r="L23" s="22">
        <f t="shared" si="5"/>
        <v>5177.0344437044851</v>
      </c>
      <c r="M23" s="22">
        <f t="shared" si="5"/>
        <v>37851.015440364477</v>
      </c>
      <c r="N23" s="22">
        <f t="shared" si="5"/>
        <v>72.75694519932344</v>
      </c>
      <c r="O23" s="22">
        <f t="shared" si="5"/>
        <v>39.117073170731707</v>
      </c>
      <c r="P23" s="22">
        <f t="shared" si="5"/>
        <v>4.6985300285438907</v>
      </c>
      <c r="Q23" s="22">
        <f t="shared" si="5"/>
        <v>34.352510996657116</v>
      </c>
      <c r="R23" s="22">
        <f t="shared" si="5"/>
        <v>6.603214553070047E-2</v>
      </c>
    </row>
    <row r="24" spans="1:18" s="2" customFormat="1">
      <c r="A24" s="154"/>
      <c r="B24" s="26" t="s">
        <v>5</v>
      </c>
      <c r="C24" s="19">
        <f>G24+K24+O24</f>
        <v>32.128729064833863</v>
      </c>
      <c r="D24" s="19">
        <f t="shared" si="3"/>
        <v>24.117152959378622</v>
      </c>
      <c r="E24" s="19">
        <f t="shared" si="3"/>
        <v>33.222258557150184</v>
      </c>
      <c r="F24" s="19">
        <f t="shared" si="3"/>
        <v>33.222262105182637</v>
      </c>
      <c r="G24" s="19">
        <f>G23/G9</f>
        <v>23.631298802890552</v>
      </c>
      <c r="H24" s="19">
        <f>H23/H9</f>
        <v>15.619722697435314</v>
      </c>
      <c r="I24" s="19">
        <f>I23/I9</f>
        <v>24.724828295206876</v>
      </c>
      <c r="J24" s="19">
        <f>J23/J9</f>
        <v>24.724831843239329</v>
      </c>
      <c r="K24" s="19">
        <f t="shared" ref="K24:R24" si="6">K23/K8</f>
        <v>8.4897252274589796</v>
      </c>
      <c r="L24" s="19">
        <f t="shared" si="6"/>
        <v>8.4897252274589796</v>
      </c>
      <c r="M24" s="19">
        <f t="shared" si="6"/>
        <v>8.4897252274589778</v>
      </c>
      <c r="N24" s="19">
        <f t="shared" si="6"/>
        <v>8.4897252274589778</v>
      </c>
      <c r="O24" s="19">
        <f t="shared" si="6"/>
        <v>7.7050344843291093E-3</v>
      </c>
      <c r="P24" s="19">
        <f t="shared" si="6"/>
        <v>7.7050344843291093E-3</v>
      </c>
      <c r="Q24" s="19">
        <f t="shared" si="6"/>
        <v>7.7050344843291093E-3</v>
      </c>
      <c r="R24" s="19">
        <f t="shared" si="6"/>
        <v>7.7050344843291093E-3</v>
      </c>
    </row>
    <row r="25" spans="1:18" s="2" customFormat="1">
      <c r="A25" s="154"/>
      <c r="B25" s="26" t="s">
        <v>3</v>
      </c>
      <c r="C25" s="34">
        <v>0.18</v>
      </c>
      <c r="D25" s="34">
        <v>0.18</v>
      </c>
      <c r="E25" s="34">
        <v>0.18</v>
      </c>
      <c r="F25" s="34">
        <v>0.18</v>
      </c>
      <c r="G25" s="34">
        <v>0.18</v>
      </c>
      <c r="H25" s="34">
        <v>0.18</v>
      </c>
      <c r="I25" s="34">
        <v>0.18</v>
      </c>
      <c r="J25" s="34">
        <v>0.18</v>
      </c>
      <c r="K25" s="34">
        <v>0.18</v>
      </c>
      <c r="L25" s="34">
        <v>0.18</v>
      </c>
      <c r="M25" s="34">
        <v>0.18</v>
      </c>
      <c r="N25" s="34">
        <v>0.18</v>
      </c>
      <c r="O25" s="34">
        <v>0.18</v>
      </c>
      <c r="P25" s="34">
        <v>0.18</v>
      </c>
      <c r="Q25" s="34">
        <v>0.18</v>
      </c>
      <c r="R25" s="34">
        <v>0.18</v>
      </c>
    </row>
    <row r="26" spans="1:18" s="24" customFormat="1">
      <c r="A26" s="169" t="s">
        <v>11</v>
      </c>
      <c r="B26" s="21" t="s">
        <v>7</v>
      </c>
      <c r="C26" s="23">
        <f>C18+C23+C21-C30</f>
        <v>1005782.4482926829</v>
      </c>
      <c r="D26" s="23">
        <f>D18+D23+D21-D30</f>
        <v>89604.53125683649</v>
      </c>
      <c r="E26" s="23">
        <f>E18+E23+E21-E30</f>
        <v>914410.73198456969</v>
      </c>
      <c r="F26" s="23">
        <f>F18+F23+F21-F30</f>
        <v>1767.1850512766014</v>
      </c>
      <c r="G26" s="22">
        <f>(G18+G21)/((100-18)/100)</f>
        <v>766116.20439024386</v>
      </c>
      <c r="H26" s="22">
        <f>(H18+H21)/((100-18)/100)</f>
        <v>60817.125847208554</v>
      </c>
      <c r="I26" s="22">
        <f>(I18+I21)/((100-18)/100)</f>
        <v>703936.46558811911</v>
      </c>
      <c r="J26" s="22">
        <f>(J18+J21)/((100-18)/100)</f>
        <v>1362.6129549163009</v>
      </c>
      <c r="K26" s="22">
        <f t="shared" ref="K26:N27" si="7">(K18+K21-K30)/((100-18)/100)</f>
        <v>239448.92682926831</v>
      </c>
      <c r="L26" s="22">
        <f t="shared" si="7"/>
        <v>28761.302465024917</v>
      </c>
      <c r="M26" s="22">
        <f t="shared" si="7"/>
        <v>210283.41911313601</v>
      </c>
      <c r="N26" s="22">
        <f t="shared" si="7"/>
        <v>404.20525110735247</v>
      </c>
      <c r="O26" s="22">
        <f>(O18+O21)/((100-18)/100)</f>
        <v>217.31707317073173</v>
      </c>
      <c r="P26" s="22">
        <f>(P18+P21)/((100-18)/100)</f>
        <v>26.102944603021616</v>
      </c>
      <c r="Q26" s="19">
        <f>(Q18+Q21)/((100-18)/100)</f>
        <v>190.84728331476177</v>
      </c>
      <c r="R26" s="19">
        <f>(R18+R21)/((100-18)/100)</f>
        <v>0.36684525294833592</v>
      </c>
    </row>
    <row r="27" spans="1:18" s="24" customFormat="1">
      <c r="A27" s="169"/>
      <c r="B27" s="21" t="s">
        <v>5</v>
      </c>
      <c r="C27" s="20">
        <f>G27+K27+O27</f>
        <v>178.49293924907698</v>
      </c>
      <c r="D27" s="20">
        <f>H27+L27+P27</f>
        <v>133.97418310765903</v>
      </c>
      <c r="E27" s="20">
        <f>I27+M27+Q27</f>
        <v>184.5481030952788</v>
      </c>
      <c r="F27" s="20">
        <f>J27+N27+R27</f>
        <v>184.54812280657023</v>
      </c>
      <c r="G27" s="19">
        <f>(G19+G22)/((100-18)/100)+0.01</f>
        <v>131.29499334939194</v>
      </c>
      <c r="H27" s="19">
        <f>(H19+H22)/((100-18)/100)</f>
        <v>86.776237207973963</v>
      </c>
      <c r="I27" s="19">
        <f>(I19+I22)/((100-18)/100)-0.01</f>
        <v>137.35015719559377</v>
      </c>
      <c r="J27" s="19">
        <f>(J19+J22)/((100-18)/100)-0.01</f>
        <v>137.35017690688517</v>
      </c>
      <c r="K27" s="19">
        <f t="shared" si="7"/>
        <v>47.165140152549881</v>
      </c>
      <c r="L27" s="19">
        <f t="shared" si="7"/>
        <v>47.165140152549881</v>
      </c>
      <c r="M27" s="19">
        <f t="shared" si="7"/>
        <v>47.165140152549881</v>
      </c>
      <c r="N27" s="19">
        <f t="shared" si="7"/>
        <v>47.165140152549881</v>
      </c>
      <c r="O27" s="19">
        <f>(O19+O22)/((100-18)/100)-0.01</f>
        <v>3.2805747135161725E-2</v>
      </c>
      <c r="P27" s="19">
        <f>(P19+P22)/((100-18)/100)-0.01</f>
        <v>3.2805747135161718E-2</v>
      </c>
      <c r="Q27" s="19">
        <f>(Q19+Q22)/((100-18)/100)-0.01</f>
        <v>3.2805747135161718E-2</v>
      </c>
      <c r="R27" s="19">
        <f>(R19+R22)/((100-18)/100)-0.01</f>
        <v>3.2805747135161718E-2</v>
      </c>
    </row>
    <row r="28" spans="1:18" s="24" customFormat="1" ht="36" hidden="1">
      <c r="A28" s="33" t="s">
        <v>10</v>
      </c>
      <c r="B28" s="32" t="s">
        <v>5</v>
      </c>
      <c r="C28" s="31">
        <v>0</v>
      </c>
      <c r="D28" s="31">
        <v>0</v>
      </c>
      <c r="E28" s="31">
        <v>0</v>
      </c>
      <c r="F28" s="31">
        <v>0</v>
      </c>
      <c r="G28" s="30">
        <v>0</v>
      </c>
      <c r="H28" s="30">
        <v>0</v>
      </c>
      <c r="I28" s="30">
        <v>0</v>
      </c>
      <c r="J28" s="30">
        <v>0</v>
      </c>
      <c r="K28" s="19">
        <v>0</v>
      </c>
      <c r="L28" s="19">
        <v>0</v>
      </c>
      <c r="M28" s="19">
        <v>0</v>
      </c>
      <c r="N28" s="19">
        <v>0</v>
      </c>
      <c r="O28" s="30">
        <v>0</v>
      </c>
      <c r="P28" s="30">
        <v>0</v>
      </c>
      <c r="Q28" s="30">
        <v>0</v>
      </c>
      <c r="R28" s="30">
        <v>0</v>
      </c>
    </row>
    <row r="29" spans="1:18" s="24" customFormat="1" ht="15" hidden="1" customHeight="1">
      <c r="A29" s="165" t="s">
        <v>9</v>
      </c>
      <c r="B29" s="29" t="s">
        <v>7</v>
      </c>
      <c r="C29" s="172">
        <v>0</v>
      </c>
      <c r="D29" s="173"/>
      <c r="E29" s="173"/>
      <c r="F29" s="174"/>
      <c r="G29" s="162">
        <v>0</v>
      </c>
      <c r="H29" s="163"/>
      <c r="I29" s="163"/>
      <c r="J29" s="164"/>
      <c r="K29" s="162">
        <f>C29</f>
        <v>0</v>
      </c>
      <c r="L29" s="163"/>
      <c r="M29" s="163"/>
      <c r="N29" s="164"/>
      <c r="O29" s="162">
        <v>0</v>
      </c>
      <c r="P29" s="163"/>
      <c r="Q29" s="163"/>
      <c r="R29" s="164"/>
    </row>
    <row r="30" spans="1:18" s="24" customFormat="1" ht="18.75" hidden="1" customHeight="1">
      <c r="A30" s="166"/>
      <c r="B30" s="29" t="s">
        <v>7</v>
      </c>
      <c r="C30" s="28">
        <f>D30+E30+F30</f>
        <v>0</v>
      </c>
      <c r="D30" s="28">
        <f>C29/$K$8*$L$8</f>
        <v>0</v>
      </c>
      <c r="E30" s="28">
        <f>C29/$K$8*$M$8</f>
        <v>0</v>
      </c>
      <c r="F30" s="28">
        <f>C29/$K$8*$N$8</f>
        <v>0</v>
      </c>
      <c r="G30" s="27"/>
      <c r="H30" s="27"/>
      <c r="I30" s="27"/>
      <c r="J30" s="27"/>
      <c r="K30" s="28">
        <f>L30+M30+N30</f>
        <v>0</v>
      </c>
      <c r="L30" s="28">
        <f>K29/$K$8*$L$8</f>
        <v>0</v>
      </c>
      <c r="M30" s="28">
        <f>K29/$K$8*$M$8</f>
        <v>0</v>
      </c>
      <c r="N30" s="28">
        <f>K29/$K$8*$N$8</f>
        <v>0</v>
      </c>
      <c r="O30" s="27"/>
      <c r="P30" s="27"/>
      <c r="Q30" s="19"/>
      <c r="R30" s="19"/>
    </row>
    <row r="31" spans="1:18" s="24" customFormat="1" ht="12.75" hidden="1" customHeight="1">
      <c r="A31" s="167"/>
      <c r="B31" s="26" t="s">
        <v>5</v>
      </c>
      <c r="C31" s="25">
        <f>C30/C8</f>
        <v>0</v>
      </c>
      <c r="D31" s="25">
        <f>D30/D8</f>
        <v>0</v>
      </c>
      <c r="E31" s="25">
        <f>E30/E8</f>
        <v>0</v>
      </c>
      <c r="F31" s="25">
        <f>F30/F8</f>
        <v>0</v>
      </c>
      <c r="G31" s="19"/>
      <c r="H31" s="19"/>
      <c r="I31" s="19"/>
      <c r="J31" s="19"/>
      <c r="K31" s="25">
        <f>K30/K8</f>
        <v>0</v>
      </c>
      <c r="L31" s="25">
        <f>L30/L8</f>
        <v>0</v>
      </c>
      <c r="M31" s="25">
        <f>M30/M8</f>
        <v>0</v>
      </c>
      <c r="N31" s="25">
        <f>N30/N8</f>
        <v>0</v>
      </c>
      <c r="O31" s="19"/>
      <c r="P31" s="19"/>
      <c r="Q31" s="19"/>
      <c r="R31" s="19"/>
    </row>
    <row r="32" spans="1:18" s="3" customFormat="1">
      <c r="A32" s="169" t="s">
        <v>8</v>
      </c>
      <c r="B32" s="21" t="s">
        <v>7</v>
      </c>
      <c r="C32" s="23">
        <f t="shared" ref="C32:F33" si="8">G32+K32+O32</f>
        <v>19561845.417377423</v>
      </c>
      <c r="D32" s="23">
        <f t="shared" si="8"/>
        <v>1591422.4196405476</v>
      </c>
      <c r="E32" s="23">
        <f t="shared" si="8"/>
        <v>17935742.537528213</v>
      </c>
      <c r="F32" s="23">
        <f t="shared" si="8"/>
        <v>34680.460208663244</v>
      </c>
      <c r="G32" s="22">
        <f>G13+G26</f>
        <v>16471498.394390244</v>
      </c>
      <c r="H32" s="22">
        <f>H13+H26+H28</f>
        <v>1307568.2057149839</v>
      </c>
      <c r="I32" s="22">
        <f>I13+I26+I28</f>
        <v>15134634.01014456</v>
      </c>
      <c r="J32" s="22">
        <f>J13+J26+J28</f>
        <v>29296.178530700465</v>
      </c>
      <c r="K32" s="22">
        <f>K13+K26+K11+K28</f>
        <v>3085674.7059140094</v>
      </c>
      <c r="L32" s="22">
        <f>L13+L26+L11+L28</f>
        <v>283293.00061659893</v>
      </c>
      <c r="M32" s="22">
        <f>M13+M26+M11+M28</f>
        <v>2797005.3107923861</v>
      </c>
      <c r="N32" s="22">
        <f>N13+N26+N11+N28</f>
        <v>5376.3945050243856</v>
      </c>
      <c r="O32" s="22">
        <f>O13+O26+O28</f>
        <v>4672.3170731707314</v>
      </c>
      <c r="P32" s="22">
        <f>P13+P26+P28</f>
        <v>561.21330896496465</v>
      </c>
      <c r="Q32" s="22">
        <f>Q13+Q26+Q28</f>
        <v>4103.2165912673781</v>
      </c>
      <c r="R32" s="22">
        <f>R13+R26+R28</f>
        <v>7.887172938389222</v>
      </c>
    </row>
    <row r="33" spans="1:18" s="3" customFormat="1">
      <c r="A33" s="169"/>
      <c r="B33" s="21" t="s">
        <v>5</v>
      </c>
      <c r="C33" s="20">
        <f t="shared" si="8"/>
        <v>3431.3544324621462</v>
      </c>
      <c r="D33" s="20">
        <f t="shared" si="8"/>
        <v>2331.1764957168716</v>
      </c>
      <c r="E33" s="20">
        <f t="shared" si="8"/>
        <v>3581.4929638395847</v>
      </c>
      <c r="F33" s="20">
        <f t="shared" si="8"/>
        <v>3581.4947110782846</v>
      </c>
      <c r="G33" s="19">
        <f>G14+G27</f>
        <v>2822.6373570119272</v>
      </c>
      <c r="H33" s="19">
        <f t="shared" ref="H33:R33" si="9">H14+H27</f>
        <v>1865.6890999714401</v>
      </c>
      <c r="I33" s="19">
        <f t="shared" si="9"/>
        <v>2953.2333797052656</v>
      </c>
      <c r="J33" s="19">
        <f t="shared" si="9"/>
        <v>2953.2338034980307</v>
      </c>
      <c r="K33" s="19">
        <f t="shared" si="9"/>
        <v>607.80675188681289</v>
      </c>
      <c r="L33" s="19">
        <f t="shared" si="9"/>
        <v>464.57707218202523</v>
      </c>
      <c r="M33" s="19">
        <f t="shared" si="9"/>
        <v>627.34926057091275</v>
      </c>
      <c r="N33" s="19">
        <f t="shared" si="9"/>
        <v>627.35058401684773</v>
      </c>
      <c r="O33" s="19">
        <f t="shared" si="9"/>
        <v>0.91032356340597698</v>
      </c>
      <c r="P33" s="19">
        <f t="shared" si="9"/>
        <v>0.91032356340597698</v>
      </c>
      <c r="Q33" s="19">
        <f t="shared" si="9"/>
        <v>0.91032356340597698</v>
      </c>
      <c r="R33" s="19">
        <f t="shared" si="9"/>
        <v>0.91032356340597687</v>
      </c>
    </row>
    <row r="34" spans="1:18" s="3" customFormat="1" ht="15.75" thickBot="1">
      <c r="A34" s="18" t="s">
        <v>6</v>
      </c>
      <c r="B34" s="17" t="s">
        <v>5</v>
      </c>
      <c r="C34" s="16">
        <v>2154.96</v>
      </c>
      <c r="D34" s="15">
        <v>1744.01</v>
      </c>
      <c r="E34" s="15">
        <v>3427.38</v>
      </c>
      <c r="F34" s="14">
        <v>4528.71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s="3" customFormat="1" ht="15.75" thickBot="1">
      <c r="A35" s="12" t="s">
        <v>4</v>
      </c>
      <c r="B35" s="11" t="s">
        <v>3</v>
      </c>
      <c r="C35" s="10">
        <f>(C33/C34*100)-100</f>
        <v>59.230539428209624</v>
      </c>
      <c r="D35" s="9">
        <f>D33/D34*100-100</f>
        <v>33.6676106052644</v>
      </c>
      <c r="E35" s="9">
        <f>E33/E34*100-100</f>
        <v>4.4965239874068317</v>
      </c>
      <c r="F35" s="8">
        <f>F33/F34*100-100</f>
        <v>-20.915785928481085</v>
      </c>
      <c r="G35" s="6"/>
      <c r="H35" s="7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s="3" customFormat="1" ht="74.25" customHeight="1">
      <c r="A36" s="170" t="s">
        <v>2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</row>
    <row r="37" spans="1:18" s="3" customFormat="1" ht="18.75" hidden="1" customHeight="1">
      <c r="A37" s="171" t="s">
        <v>1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</row>
    <row r="38" spans="1:18" s="3" customFormat="1" ht="18.75" hidden="1" customHeight="1">
      <c r="A38" s="5"/>
      <c r="B38" s="5"/>
      <c r="C38" s="5"/>
      <c r="D38" s="5"/>
      <c r="E38" s="5"/>
      <c r="F38" s="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s="3" customFormat="1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s="3" customFormat="1">
      <c r="C40" s="168" t="s">
        <v>0</v>
      </c>
      <c r="D40" s="168"/>
      <c r="E40" s="168"/>
      <c r="F40" s="16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</sheetData>
  <mergeCells count="39">
    <mergeCell ref="K29:N29"/>
    <mergeCell ref="O29:R29"/>
    <mergeCell ref="A29:A31"/>
    <mergeCell ref="C40:F40"/>
    <mergeCell ref="A17:A19"/>
    <mergeCell ref="A20:A22"/>
    <mergeCell ref="A23:A25"/>
    <mergeCell ref="A26:A27"/>
    <mergeCell ref="A32:A33"/>
    <mergeCell ref="A36:R36"/>
    <mergeCell ref="A37:R37"/>
    <mergeCell ref="C29:F29"/>
    <mergeCell ref="G29:J29"/>
    <mergeCell ref="O15:R15"/>
    <mergeCell ref="C16:F16"/>
    <mergeCell ref="G16:J16"/>
    <mergeCell ref="K16:N16"/>
    <mergeCell ref="O16:R16"/>
    <mergeCell ref="A13:A14"/>
    <mergeCell ref="A15:A16"/>
    <mergeCell ref="C15:F15"/>
    <mergeCell ref="G15:J15"/>
    <mergeCell ref="K15:N15"/>
    <mergeCell ref="A1:R1"/>
    <mergeCell ref="A3:A6"/>
    <mergeCell ref="B3:B6"/>
    <mergeCell ref="C3:F3"/>
    <mergeCell ref="G3:R3"/>
    <mergeCell ref="C4:C6"/>
    <mergeCell ref="D4:F5"/>
    <mergeCell ref="G4:J4"/>
    <mergeCell ref="K4:N4"/>
    <mergeCell ref="O4:R4"/>
    <mergeCell ref="G5:G6"/>
    <mergeCell ref="H5:J5"/>
    <mergeCell ref="K5:K6"/>
    <mergeCell ref="L5:N5"/>
    <mergeCell ref="O5:O6"/>
    <mergeCell ref="P5:R5"/>
  </mergeCells>
  <pageMargins left="1.1811023622047245" right="0.39370078740157483" top="0.74803149606299213" bottom="0.74803149606299213" header="0.31496062992125984" footer="0.31496062992125984"/>
  <pageSetup paperSize="9" scale="5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 на 1 Гкал</vt:lpstr>
      <vt:lpstr>тариф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2022-07-05T08:10:01Z</dcterms:modified>
</cp:coreProperties>
</file>